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769063d6f9f7912/☆☆女神ハトホル/4.1_会計の仕事/19_ブログ記事/"/>
    </mc:Choice>
  </mc:AlternateContent>
  <xr:revisionPtr revIDLastSave="1557" documentId="11_AD4D066CA252ABDACC1048E43914FF7C72EEDF5E" xr6:coauthVersionLast="47" xr6:coauthVersionMax="47" xr10:uidLastSave="{77F66F65-104E-4910-A7EF-5BE249EB7C0A}"/>
  <bookViews>
    <workbookView xWindow="-110" yWindow="-110" windowWidth="19420" windowHeight="10420" activeTab="8" xr2:uid="{00000000-000D-0000-FFFF-FFFF00000000}"/>
  </bookViews>
  <sheets>
    <sheet name="Case1" sheetId="10" r:id="rId1"/>
    <sheet name="Case2" sheetId="11" r:id="rId2"/>
    <sheet name="Case3" sheetId="12" r:id="rId3"/>
    <sheet name="Case4.1" sheetId="8" r:id="rId4"/>
    <sheet name="Case4.2" sheetId="3" r:id="rId5"/>
    <sheet name="Case4.3" sheetId="6" r:id="rId6"/>
    <sheet name="Case4.4" sheetId="1" r:id="rId7"/>
    <sheet name="Case4.5" sheetId="2" r:id="rId8"/>
    <sheet name="Case4.6" sheetId="9" r:id="rId9"/>
  </sheet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5" i="12" l="1"/>
  <c r="V34" i="12"/>
  <c r="U34" i="12"/>
  <c r="T34" i="12"/>
  <c r="S34" i="12"/>
  <c r="R34" i="12"/>
  <c r="Q34" i="12"/>
  <c r="P34" i="12"/>
  <c r="O34" i="12"/>
  <c r="N34" i="12"/>
  <c r="W34" i="12" s="1"/>
  <c r="M34" i="12"/>
  <c r="L34" i="12"/>
  <c r="K34" i="12"/>
  <c r="H34" i="12"/>
  <c r="I34" i="12" s="1"/>
  <c r="W33" i="12"/>
  <c r="V32" i="12"/>
  <c r="U32" i="12"/>
  <c r="T32" i="12"/>
  <c r="S32" i="12"/>
  <c r="R32" i="12"/>
  <c r="Q32" i="12"/>
  <c r="P32" i="12"/>
  <c r="O32" i="12"/>
  <c r="N32" i="12"/>
  <c r="W32" i="12" s="1"/>
  <c r="M32" i="12"/>
  <c r="L32" i="12"/>
  <c r="K32" i="12"/>
  <c r="E32" i="12"/>
  <c r="H32" i="12" s="1"/>
  <c r="I32" i="12" s="1"/>
  <c r="W31" i="12"/>
  <c r="V30" i="12"/>
  <c r="U30" i="12"/>
  <c r="T30" i="12"/>
  <c r="S30" i="12"/>
  <c r="R30" i="12"/>
  <c r="Q30" i="12"/>
  <c r="P30" i="12"/>
  <c r="O30" i="12"/>
  <c r="O3" i="12" s="1"/>
  <c r="N30" i="12"/>
  <c r="M30" i="12"/>
  <c r="L30" i="12"/>
  <c r="K30" i="12"/>
  <c r="H30" i="12"/>
  <c r="I30" i="12" s="1"/>
  <c r="E30" i="12"/>
  <c r="W29" i="12"/>
  <c r="V28" i="12"/>
  <c r="U28" i="12"/>
  <c r="T28" i="12"/>
  <c r="S28" i="12"/>
  <c r="R28" i="12"/>
  <c r="R4" i="12" s="1"/>
  <c r="Q28" i="12"/>
  <c r="P28" i="12"/>
  <c r="P4" i="12" s="1"/>
  <c r="O28" i="12"/>
  <c r="N28" i="12"/>
  <c r="M28" i="12"/>
  <c r="L28" i="12"/>
  <c r="K28" i="12"/>
  <c r="W28" i="12" s="1"/>
  <c r="E28" i="12"/>
  <c r="H28" i="12" s="1"/>
  <c r="I28" i="12" s="1"/>
  <c r="W27" i="12"/>
  <c r="V26" i="12"/>
  <c r="U26" i="12"/>
  <c r="T26" i="12"/>
  <c r="S26" i="12"/>
  <c r="S5" i="12" s="1"/>
  <c r="R26" i="12"/>
  <c r="Q26" i="12"/>
  <c r="P26" i="12"/>
  <c r="O26" i="12"/>
  <c r="N26" i="12"/>
  <c r="M26" i="12"/>
  <c r="L26" i="12"/>
  <c r="K26" i="12"/>
  <c r="W26" i="12" s="1"/>
  <c r="H26" i="12"/>
  <c r="I26" i="12" s="1"/>
  <c r="E26" i="12"/>
  <c r="W25" i="12"/>
  <c r="V24" i="12"/>
  <c r="U24" i="12"/>
  <c r="T24" i="12"/>
  <c r="T5" i="12" s="1"/>
  <c r="S24" i="12"/>
  <c r="R24" i="12"/>
  <c r="R5" i="12" s="1"/>
  <c r="Q24" i="12"/>
  <c r="P24" i="12"/>
  <c r="O24" i="12"/>
  <c r="N24" i="12"/>
  <c r="M24" i="12"/>
  <c r="L24" i="12"/>
  <c r="L5" i="12" s="1"/>
  <c r="K24" i="12"/>
  <c r="W24" i="12" s="1"/>
  <c r="I24" i="12"/>
  <c r="H24" i="12"/>
  <c r="E24" i="12"/>
  <c r="W23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W22" i="12" s="1"/>
  <c r="I22" i="12"/>
  <c r="H22" i="12"/>
  <c r="E22" i="12"/>
  <c r="W21" i="12"/>
  <c r="V20" i="12"/>
  <c r="V3" i="12" s="1"/>
  <c r="V6" i="12" s="1"/>
  <c r="U20" i="12"/>
  <c r="T20" i="12"/>
  <c r="S20" i="12"/>
  <c r="R20" i="12"/>
  <c r="Q20" i="12"/>
  <c r="P20" i="12"/>
  <c r="O20" i="12"/>
  <c r="N20" i="12"/>
  <c r="N3" i="12" s="1"/>
  <c r="N6" i="12" s="1"/>
  <c r="M20" i="12"/>
  <c r="L20" i="12"/>
  <c r="W20" i="12" s="1"/>
  <c r="K20" i="12"/>
  <c r="E20" i="12"/>
  <c r="H20" i="12" s="1"/>
  <c r="I20" i="12" s="1"/>
  <c r="W19" i="12"/>
  <c r="V18" i="12"/>
  <c r="U18" i="12"/>
  <c r="U5" i="12" s="1"/>
  <c r="T18" i="12"/>
  <c r="S18" i="12"/>
  <c r="R18" i="12"/>
  <c r="Q18" i="12"/>
  <c r="P18" i="12"/>
  <c r="O18" i="12"/>
  <c r="N18" i="12"/>
  <c r="M18" i="12"/>
  <c r="M5" i="12" s="1"/>
  <c r="L18" i="12"/>
  <c r="K18" i="12"/>
  <c r="E18" i="12"/>
  <c r="H18" i="12" s="1"/>
  <c r="I18" i="12" s="1"/>
  <c r="W17" i="12"/>
  <c r="K17" i="12"/>
  <c r="V16" i="12"/>
  <c r="U16" i="12"/>
  <c r="T16" i="12"/>
  <c r="S16" i="12"/>
  <c r="R16" i="12"/>
  <c r="Q16" i="12"/>
  <c r="Q4" i="12" s="1"/>
  <c r="P16" i="12"/>
  <c r="O16" i="12"/>
  <c r="O4" i="12" s="1"/>
  <c r="N16" i="12"/>
  <c r="M16" i="12"/>
  <c r="L16" i="12"/>
  <c r="K16" i="12"/>
  <c r="H16" i="12"/>
  <c r="I16" i="12" s="1"/>
  <c r="E16" i="12"/>
  <c r="W15" i="12"/>
  <c r="V14" i="12"/>
  <c r="U14" i="12"/>
  <c r="T14" i="12"/>
  <c r="S14" i="12"/>
  <c r="R14" i="12"/>
  <c r="Q14" i="12"/>
  <c r="P14" i="12"/>
  <c r="P3" i="12" s="1"/>
  <c r="O14" i="12"/>
  <c r="N14" i="12"/>
  <c r="M14" i="12"/>
  <c r="L14" i="12"/>
  <c r="K14" i="12"/>
  <c r="W14" i="12" s="1"/>
  <c r="E14" i="12"/>
  <c r="H14" i="12" s="1"/>
  <c r="I14" i="12" s="1"/>
  <c r="W13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W12" i="12" s="1"/>
  <c r="H12" i="12"/>
  <c r="I12" i="12" s="1"/>
  <c r="E12" i="12"/>
  <c r="W11" i="12"/>
  <c r="V10" i="12"/>
  <c r="V36" i="12" s="1"/>
  <c r="U10" i="12"/>
  <c r="U36" i="12" s="1"/>
  <c r="T10" i="12"/>
  <c r="T36" i="12" s="1"/>
  <c r="S10" i="12"/>
  <c r="S36" i="12" s="1"/>
  <c r="R10" i="12"/>
  <c r="R36" i="12" s="1"/>
  <c r="Q10" i="12"/>
  <c r="Q36" i="12" s="1"/>
  <c r="P10" i="12"/>
  <c r="O10" i="12"/>
  <c r="O36" i="12" s="1"/>
  <c r="N10" i="12"/>
  <c r="N36" i="12" s="1"/>
  <c r="M10" i="12"/>
  <c r="M36" i="12" s="1"/>
  <c r="L10" i="12"/>
  <c r="L36" i="12" s="1"/>
  <c r="K10" i="12"/>
  <c r="W10" i="12" s="1"/>
  <c r="I10" i="12"/>
  <c r="H10" i="12"/>
  <c r="E10" i="12"/>
  <c r="V5" i="12"/>
  <c r="Q5" i="12"/>
  <c r="P5" i="12"/>
  <c r="O5" i="12"/>
  <c r="N5" i="12"/>
  <c r="V4" i="12"/>
  <c r="U4" i="12"/>
  <c r="T4" i="12"/>
  <c r="S4" i="12"/>
  <c r="N4" i="12"/>
  <c r="M4" i="12"/>
  <c r="L4" i="12"/>
  <c r="K4" i="12"/>
  <c r="U3" i="12"/>
  <c r="S3" i="12"/>
  <c r="Q3" i="12"/>
  <c r="M3" i="12"/>
  <c r="K3" i="12"/>
  <c r="R16" i="11"/>
  <c r="S16" i="11" s="1"/>
  <c r="Q16" i="11"/>
  <c r="O16" i="11"/>
  <c r="H16" i="11"/>
  <c r="Q15" i="11"/>
  <c r="O15" i="11"/>
  <c r="R15" i="11" s="1"/>
  <c r="S15" i="11" s="1"/>
  <c r="H15" i="11"/>
  <c r="R14" i="11"/>
  <c r="S14" i="11" s="1"/>
  <c r="Q14" i="11"/>
  <c r="O14" i="11"/>
  <c r="H14" i="11"/>
  <c r="R13" i="11"/>
  <c r="S13" i="11" s="1"/>
  <c r="Q13" i="11"/>
  <c r="O13" i="11"/>
  <c r="H13" i="11"/>
  <c r="Q12" i="11"/>
  <c r="O12" i="11"/>
  <c r="R12" i="11" s="1"/>
  <c r="S12" i="11" s="1"/>
  <c r="H12" i="11"/>
  <c r="Q11" i="11"/>
  <c r="O11" i="11"/>
  <c r="R11" i="11" s="1"/>
  <c r="S11" i="11" s="1"/>
  <c r="H11" i="11"/>
  <c r="Q10" i="11"/>
  <c r="O10" i="11"/>
  <c r="R10" i="11" s="1"/>
  <c r="S10" i="11" s="1"/>
  <c r="H10" i="11"/>
  <c r="Q9" i="11"/>
  <c r="O9" i="11"/>
  <c r="R9" i="11" s="1"/>
  <c r="S9" i="11" s="1"/>
  <c r="H9" i="11"/>
  <c r="R8" i="11"/>
  <c r="S8" i="11" s="1"/>
  <c r="Q8" i="11"/>
  <c r="O8" i="11"/>
  <c r="H8" i="11"/>
  <c r="Q7" i="11"/>
  <c r="O7" i="11"/>
  <c r="R7" i="11" s="1"/>
  <c r="S7" i="11" s="1"/>
  <c r="H7" i="11"/>
  <c r="H17" i="11" s="1"/>
  <c r="K15" i="10"/>
  <c r="J15" i="10"/>
  <c r="K14" i="10"/>
  <c r="J14" i="10"/>
  <c r="K13" i="10"/>
  <c r="M13" i="10" s="1"/>
  <c r="J13" i="10"/>
  <c r="K12" i="10"/>
  <c r="M12" i="10" s="1"/>
  <c r="J12" i="10"/>
  <c r="M11" i="10"/>
  <c r="K11" i="10"/>
  <c r="J11" i="10"/>
  <c r="M10" i="10"/>
  <c r="K10" i="10"/>
  <c r="J10" i="10"/>
  <c r="K9" i="10"/>
  <c r="M9" i="10" s="1"/>
  <c r="I6" i="10" s="1"/>
  <c r="J9" i="10"/>
  <c r="F7" i="8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61" i="8" s="1"/>
  <c r="F62" i="8" s="1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F73" i="8" s="1"/>
  <c r="F74" i="8" s="1"/>
  <c r="F75" i="8" s="1"/>
  <c r="F76" i="8" s="1"/>
  <c r="F77" i="8" s="1"/>
  <c r="F78" i="8" s="1"/>
  <c r="F79" i="8" s="1"/>
  <c r="F80" i="8" s="1"/>
  <c r="F81" i="8" s="1"/>
  <c r="F82" i="8" s="1"/>
  <c r="F83" i="8" s="1"/>
  <c r="F7" i="3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" i="6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S6" i="12" l="1"/>
  <c r="U6" i="12"/>
  <c r="P6" i="12"/>
  <c r="O6" i="12"/>
  <c r="W4" i="12"/>
  <c r="M6" i="12"/>
  <c r="Q6" i="12"/>
  <c r="W16" i="12"/>
  <c r="W36" i="12" s="1"/>
  <c r="W30" i="12"/>
  <c r="P36" i="12"/>
  <c r="R3" i="12"/>
  <c r="R6" i="12" s="1"/>
  <c r="L3" i="12"/>
  <c r="L6" i="12" s="1"/>
  <c r="T3" i="12"/>
  <c r="T6" i="12" s="1"/>
  <c r="K36" i="12"/>
  <c r="K5" i="12"/>
  <c r="W5" i="12" s="1"/>
  <c r="W18" i="12"/>
  <c r="E13" i="2"/>
  <c r="F10" i="2"/>
  <c r="F14" i="2"/>
  <c r="F5" i="2"/>
  <c r="F9" i="2"/>
  <c r="F13" i="2"/>
  <c r="E6" i="2"/>
  <c r="E10" i="2"/>
  <c r="E14" i="2"/>
  <c r="G14" i="2" s="1"/>
  <c r="F6" i="2"/>
  <c r="E3" i="2"/>
  <c r="E7" i="2"/>
  <c r="E11" i="2"/>
  <c r="E16" i="2"/>
  <c r="F3" i="2"/>
  <c r="F7" i="2"/>
  <c r="G7" i="2" s="1"/>
  <c r="F11" i="2"/>
  <c r="F16" i="2"/>
  <c r="E4" i="2"/>
  <c r="E8" i="2"/>
  <c r="E12" i="2"/>
  <c r="E17" i="2"/>
  <c r="F4" i="2"/>
  <c r="F8" i="2"/>
  <c r="G8" i="2" s="1"/>
  <c r="F12" i="2"/>
  <c r="F17" i="2"/>
  <c r="E5" i="2"/>
  <c r="E9" i="2"/>
  <c r="G9" i="2" s="1"/>
  <c r="W3" i="12" l="1"/>
  <c r="W6" i="12" s="1"/>
  <c r="K6" i="12"/>
  <c r="G12" i="2"/>
  <c r="G11" i="2"/>
  <c r="G13" i="2"/>
  <c r="G17" i="2"/>
  <c r="G16" i="2"/>
  <c r="G3" i="2"/>
  <c r="G10" i="2"/>
  <c r="F19" i="2"/>
  <c r="G6" i="2"/>
  <c r="E19" i="2"/>
</calcChain>
</file>

<file path=xl/sharedStrings.xml><?xml version="1.0" encoding="utf-8"?>
<sst xmlns="http://schemas.openxmlformats.org/spreadsheetml/2006/main" count="965" uniqueCount="302">
  <si>
    <t>科目コード</t>
  </si>
  <si>
    <t>CHGS SK JAPAN CO.,LTD</t>
    <phoneticPr fontId="3"/>
  </si>
  <si>
    <t>CHGS KOOHA CREATE CO.</t>
    <phoneticPr fontId="3"/>
  </si>
  <si>
    <t xml:space="preserve">CHGS MATSUMOTO CO LTD </t>
    <phoneticPr fontId="3"/>
  </si>
  <si>
    <t xml:space="preserve">CHGS SHOJI CO </t>
    <phoneticPr fontId="3"/>
  </si>
  <si>
    <t>7772290907778RKCO020 CXBSNS</t>
  </si>
  <si>
    <t>7772291017216RKCO674 CXBSNS</t>
  </si>
  <si>
    <t xml:space="preserve">CHGS UEDA SHOJI </t>
  </si>
  <si>
    <t>吉富安, 検品</t>
    <rPh sb="5" eb="7">
      <t>ケンピン</t>
    </rPh>
    <phoneticPr fontId="1"/>
  </si>
  <si>
    <t>志成, 手数料</t>
    <rPh sb="4" eb="7">
      <t>テスウリョウ</t>
    </rPh>
    <phoneticPr fontId="1"/>
  </si>
  <si>
    <t>ITS,　IT保守</t>
    <rPh sb="7" eb="9">
      <t>ホシュ</t>
    </rPh>
    <phoneticPr fontId="1"/>
  </si>
  <si>
    <t>3-032</t>
  </si>
  <si>
    <t>KAWASHIMA CASH</t>
    <phoneticPr fontId="3"/>
  </si>
  <si>
    <t>CHGS YOSHIMOTO CORP</t>
  </si>
  <si>
    <t xml:space="preserve">CHGS YOSHIMOTO CORPORA </t>
  </si>
  <si>
    <t xml:space="preserve">CHGS UEDA SHOJI CO </t>
    <phoneticPr fontId="3"/>
  </si>
  <si>
    <t>CHGS OSAKADO CORP.</t>
  </si>
  <si>
    <t xml:space="preserve">CHGSOSAKADO CORP. </t>
  </si>
  <si>
    <t xml:space="preserve">支票付款 001675 </t>
  </si>
  <si>
    <t>支票付款 001703</t>
  </si>
  <si>
    <t>支票付款 001701</t>
  </si>
  <si>
    <t>支票付款 001680</t>
  </si>
  <si>
    <t>支票付款 001707</t>
  </si>
  <si>
    <t xml:space="preserve">支票付款 001713 </t>
  </si>
  <si>
    <t>深圳検品中心</t>
    <rPh sb="0" eb="2">
      <t>シンセン</t>
    </rPh>
    <rPh sb="2" eb="4">
      <t>ケンピン</t>
    </rPh>
    <rPh sb="4" eb="6">
      <t>チュウシン</t>
    </rPh>
    <phoneticPr fontId="1"/>
  </si>
  <si>
    <t>同兴进出口</t>
    <phoneticPr fontId="3"/>
  </si>
  <si>
    <t>日期</t>
    <phoneticPr fontId="3"/>
  </si>
  <si>
    <t>科目名称</t>
  </si>
  <si>
    <t>区分</t>
  </si>
  <si>
    <t>合計</t>
  </si>
  <si>
    <t>借</t>
  </si>
  <si>
    <t>人件費</t>
  </si>
  <si>
    <t>通信費</t>
  </si>
  <si>
    <t>銀行手数料等</t>
  </si>
  <si>
    <t>その他</t>
  </si>
  <si>
    <t>3-021</t>
  </si>
  <si>
    <t>3-022</t>
  </si>
  <si>
    <t>3-031</t>
  </si>
  <si>
    <t>3-041</t>
  </si>
  <si>
    <t>3-042</t>
  </si>
  <si>
    <t>3-051</t>
  </si>
  <si>
    <t>品質検査、測定費用</t>
  </si>
  <si>
    <t>3-061</t>
  </si>
  <si>
    <t>PO支払</t>
  </si>
  <si>
    <t>売掛金回収</t>
  </si>
  <si>
    <t>YOSHIMOTO CORP</t>
    <phoneticPr fontId="3"/>
  </si>
  <si>
    <t>UEDA SHOJI</t>
    <phoneticPr fontId="3"/>
  </si>
  <si>
    <t>YOSHIMOTO</t>
    <phoneticPr fontId="3"/>
  </si>
  <si>
    <t>OSAKADO</t>
    <phoneticPr fontId="3"/>
  </si>
  <si>
    <t>YOKOHAMA TRADING</t>
    <phoneticPr fontId="3"/>
  </si>
  <si>
    <t>MATSUMOTO</t>
    <phoneticPr fontId="3"/>
  </si>
  <si>
    <t>MR.KAMAKURA</t>
    <phoneticPr fontId="3"/>
  </si>
  <si>
    <t>MR.SHIBUYA</t>
    <phoneticPr fontId="3"/>
  </si>
  <si>
    <t xml:space="preserve"> </t>
    <phoneticPr fontId="3"/>
  </si>
  <si>
    <t>彼艾斯国际物流</t>
    <phoneticPr fontId="3"/>
  </si>
  <si>
    <t>顺丰</t>
    <phoneticPr fontId="3"/>
  </si>
  <si>
    <t>宏桥国际货运</t>
    <rPh sb="0" eb="1">
      <t>ヒロシ</t>
    </rPh>
    <phoneticPr fontId="1"/>
  </si>
  <si>
    <t>支票付款 001667</t>
    <phoneticPr fontId="3"/>
  </si>
  <si>
    <t>日新国际物流(上海)</t>
    <phoneticPr fontId="3"/>
  </si>
  <si>
    <t>携程</t>
  </si>
  <si>
    <t>支票付款 001503</t>
    <phoneticPr fontId="3"/>
  </si>
  <si>
    <t>德勤会计师事务所</t>
  </si>
  <si>
    <t>中国移动</t>
    <phoneticPr fontId="3"/>
  </si>
  <si>
    <t>中原地产房租</t>
    <phoneticPr fontId="3"/>
  </si>
  <si>
    <t>彩幻紙品有限会社</t>
    <rPh sb="0" eb="2">
      <t>アヤゲン</t>
    </rPh>
    <rPh sb="2" eb="3">
      <t>カミ</t>
    </rPh>
    <rPh sb="3" eb="4">
      <t>シナ</t>
    </rPh>
    <rPh sb="4" eb="8">
      <t>ユウゲンカイシャ</t>
    </rPh>
    <phoneticPr fontId="3"/>
  </si>
  <si>
    <t>广州金属科技有限会社</t>
    <rPh sb="4" eb="6">
      <t>カギ</t>
    </rPh>
    <rPh sb="6" eb="10">
      <t>ユウゲンカイシャ</t>
    </rPh>
    <phoneticPr fontId="3"/>
  </si>
  <si>
    <t>广州金属科技</t>
  </si>
  <si>
    <t>东莞塑料制品有限公司</t>
    <phoneticPr fontId="3"/>
  </si>
  <si>
    <t>精密五金制品有限公司</t>
    <rPh sb="0" eb="2">
      <t>セイミツ</t>
    </rPh>
    <rPh sb="2" eb="4">
      <t>ゴキン</t>
    </rPh>
    <phoneticPr fontId="3"/>
  </si>
  <si>
    <t>OSAKADO CORP. USD 52000 at RMB6.40</t>
    <phoneticPr fontId="3"/>
  </si>
  <si>
    <t>UEDA SHOJI USD 4000 at RMB6.40</t>
    <phoneticPr fontId="3"/>
  </si>
  <si>
    <t>UEDA SHOJI CO., LTD. USD 2500 at RMB6.40</t>
    <phoneticPr fontId="3"/>
  </si>
  <si>
    <t>期间;  from2021/12/01 to2021/12/31</t>
    <phoneticPr fontId="3"/>
  </si>
  <si>
    <t>存入</t>
    <phoneticPr fontId="3"/>
  </si>
  <si>
    <t>支出</t>
    <phoneticPr fontId="3"/>
  </si>
  <si>
    <t>结余</t>
    <phoneticPr fontId="3"/>
  </si>
  <si>
    <t>月初余额;  人民币 250,000.00</t>
    <rPh sb="0" eb="2">
      <t>ツキハジ</t>
    </rPh>
    <phoneticPr fontId="3"/>
  </si>
  <si>
    <t>交易明细</t>
  </si>
  <si>
    <t>【結單】</t>
    <phoneticPr fontId="3"/>
  </si>
  <si>
    <t>通信費</t>
    <rPh sb="0" eb="3">
      <t>ツウシンヒ</t>
    </rPh>
    <phoneticPr fontId="3"/>
  </si>
  <si>
    <t>支払手数料</t>
  </si>
  <si>
    <t>支払手数料</t>
    <phoneticPr fontId="3"/>
  </si>
  <si>
    <t>接待交際費</t>
  </si>
  <si>
    <t>接待交際費</t>
    <phoneticPr fontId="3"/>
  </si>
  <si>
    <t>交通費、出張費</t>
  </si>
  <si>
    <t>交通費、出張費</t>
    <rPh sb="0" eb="3">
      <t>コウツウヒ</t>
    </rPh>
    <rPh sb="4" eb="7">
      <t>シュッチョウヒ</t>
    </rPh>
    <phoneticPr fontId="3"/>
  </si>
  <si>
    <t>事務所家賃</t>
  </si>
  <si>
    <t>事務所家賃</t>
    <rPh sb="0" eb="3">
      <t>ジムショ</t>
    </rPh>
    <phoneticPr fontId="3"/>
  </si>
  <si>
    <t>備品、消耗工具</t>
  </si>
  <si>
    <t>備品、消耗工具</t>
    <rPh sb="0" eb="2">
      <t>ビヒン</t>
    </rPh>
    <phoneticPr fontId="3"/>
  </si>
  <si>
    <t>海上運賃、航空運賃</t>
  </si>
  <si>
    <t>海上運賃、航空運賃</t>
    <rPh sb="0" eb="4">
      <t>カイジョウウンチン</t>
    </rPh>
    <rPh sb="5" eb="9">
      <t>コウクウウンチン</t>
    </rPh>
    <phoneticPr fontId="3"/>
  </si>
  <si>
    <t>国内送料、クーリエ、倉庫代</t>
  </si>
  <si>
    <t>国内送料、クーリエ、倉庫代</t>
    <rPh sb="0" eb="2">
      <t>コクナイ</t>
    </rPh>
    <rPh sb="2" eb="4">
      <t>ソウリョウ</t>
    </rPh>
    <rPh sb="10" eb="13">
      <t>ソウコダイ</t>
    </rPh>
    <phoneticPr fontId="3"/>
  </si>
  <si>
    <t>3-010</t>
  </si>
  <si>
    <t>3-010</t>
    <phoneticPr fontId="3"/>
  </si>
  <si>
    <t>1-100</t>
  </si>
  <si>
    <t>1-100</t>
    <phoneticPr fontId="3"/>
  </si>
  <si>
    <t>2-100</t>
  </si>
  <si>
    <t>2-100</t>
    <phoneticPr fontId="3"/>
  </si>
  <si>
    <t>3-021</t>
    <phoneticPr fontId="3"/>
  </si>
  <si>
    <t>3-022</t>
    <phoneticPr fontId="3"/>
  </si>
  <si>
    <t>3-031</t>
    <phoneticPr fontId="3"/>
  </si>
  <si>
    <t>3-032</t>
    <phoneticPr fontId="3"/>
  </si>
  <si>
    <t>3-034</t>
  </si>
  <si>
    <t>3-034</t>
    <phoneticPr fontId="3"/>
  </si>
  <si>
    <t>3-035</t>
  </si>
  <si>
    <t>3-035</t>
    <phoneticPr fontId="3"/>
  </si>
  <si>
    <t>3-041</t>
    <phoneticPr fontId="3"/>
  </si>
  <si>
    <t>3-042</t>
    <phoneticPr fontId="3"/>
  </si>
  <si>
    <t>3-051</t>
    <phoneticPr fontId="3"/>
  </si>
  <si>
    <t>3-061</t>
    <phoneticPr fontId="3"/>
  </si>
  <si>
    <t>3-090</t>
    <phoneticPr fontId="3"/>
  </si>
  <si>
    <t>借方</t>
  </si>
  <si>
    <t>借方</t>
    <rPh sb="0" eb="2">
      <t>カリカタ</t>
    </rPh>
    <phoneticPr fontId="3"/>
  </si>
  <si>
    <t>貸方</t>
  </si>
  <si>
    <t>貸方</t>
    <rPh sb="0" eb="2">
      <t>カシカタ</t>
    </rPh>
    <phoneticPr fontId="3"/>
  </si>
  <si>
    <t>貸</t>
    <rPh sb="0" eb="1">
      <t>カシ</t>
    </rPh>
    <phoneticPr fontId="3"/>
  </si>
  <si>
    <t>3-021</t>
    <phoneticPr fontId="3"/>
  </si>
  <si>
    <t>3-034</t>
    <phoneticPr fontId="3"/>
  </si>
  <si>
    <t>3-041</t>
    <phoneticPr fontId="3"/>
  </si>
  <si>
    <t>2-100</t>
    <phoneticPr fontId="3"/>
  </si>
  <si>
    <t>3-035</t>
    <phoneticPr fontId="3"/>
  </si>
  <si>
    <t>3-031</t>
    <phoneticPr fontId="3"/>
  </si>
  <si>
    <t>3-032</t>
    <phoneticPr fontId="3"/>
  </si>
  <si>
    <t>1-100</t>
    <phoneticPr fontId="3"/>
  </si>
  <si>
    <t>3-051</t>
    <phoneticPr fontId="3"/>
  </si>
  <si>
    <t>3-022</t>
    <phoneticPr fontId="3"/>
  </si>
  <si>
    <t>3-042</t>
    <phoneticPr fontId="3"/>
  </si>
  <si>
    <t>3-010</t>
    <phoneticPr fontId="3"/>
  </si>
  <si>
    <t>支票付款 001501</t>
    <phoneticPr fontId="3"/>
  </si>
  <si>
    <t>支票付款 001502</t>
    <phoneticPr fontId="3"/>
  </si>
  <si>
    <t>YOSHIMOTO CORP. USD 50,000 at RMB6.40</t>
    <phoneticPr fontId="3"/>
  </si>
  <si>
    <t>UEDA SHOJI CO., LTD. USD 700 at HKD6.40</t>
    <phoneticPr fontId="3"/>
  </si>
  <si>
    <t>YOKOHAMA TRADING USD 12,000 at RMB6.40</t>
    <phoneticPr fontId="3"/>
  </si>
  <si>
    <t>OSAKADO CORP. USD 35000 at RMB6.40</t>
    <phoneticPr fontId="3"/>
  </si>
  <si>
    <t>MATSUMOTO CO LTD USD 45000 at RMB6.40</t>
    <phoneticPr fontId="3"/>
  </si>
  <si>
    <t>DHL</t>
    <phoneticPr fontId="3"/>
  </si>
  <si>
    <t>NEC Logistics HK Limited</t>
    <phoneticPr fontId="3"/>
  </si>
  <si>
    <t>RICOH,墨盒,复印纸</t>
    <phoneticPr fontId="3"/>
  </si>
  <si>
    <t>MASTER CARD(万事达卡)</t>
    <phoneticPr fontId="3"/>
  </si>
  <si>
    <t>支票付款 001504</t>
    <phoneticPr fontId="3"/>
  </si>
  <si>
    <t>支票付款 001505</t>
    <phoneticPr fontId="3"/>
  </si>
  <si>
    <t>支票付款 001506</t>
    <phoneticPr fontId="3"/>
  </si>
  <si>
    <t>支票付款 001507</t>
    <phoneticPr fontId="3"/>
  </si>
  <si>
    <t>支票付款 001508</t>
    <phoneticPr fontId="3"/>
  </si>
  <si>
    <t>支票付款 001509</t>
    <phoneticPr fontId="3"/>
  </si>
  <si>
    <t>支票付款 001510</t>
    <phoneticPr fontId="3"/>
  </si>
  <si>
    <t>支票付款 001511</t>
    <phoneticPr fontId="3"/>
  </si>
  <si>
    <t>支票付款 001512</t>
    <phoneticPr fontId="3"/>
  </si>
  <si>
    <t>支票付款 001513</t>
    <phoneticPr fontId="3"/>
  </si>
  <si>
    <t>MATSUMOTO CO LTD USD 37000 at RMB6.40</t>
    <phoneticPr fontId="3"/>
  </si>
  <si>
    <t>OSAKADO CORP. USD 30000 at RMB6.40</t>
    <phoneticPr fontId="3"/>
  </si>
  <si>
    <t>YOSHIMOTO CORP. USD 106250 at RMB6.40</t>
    <phoneticPr fontId="3"/>
  </si>
  <si>
    <t>MR.KAMAKURA A/C</t>
    <phoneticPr fontId="3"/>
  </si>
  <si>
    <t>MR.SHIBUYA A/C</t>
    <phoneticPr fontId="3"/>
  </si>
  <si>
    <t>UEDA SHOJI CO., LTD. USD 30000 at RMB6.40</t>
    <phoneticPr fontId="3"/>
  </si>
  <si>
    <t>OSAKADO CORP. USD 28125 at RMB6.40</t>
    <phoneticPr fontId="3"/>
  </si>
  <si>
    <t>计算机技术有限公司,　IT保守</t>
    <rPh sb="13" eb="15">
      <t>ホシュ</t>
    </rPh>
    <phoneticPr fontId="1"/>
  </si>
  <si>
    <t>计算机技术有限公司,　PC</t>
    <phoneticPr fontId="1"/>
  </si>
  <si>
    <t>东方航空</t>
    <phoneticPr fontId="3"/>
  </si>
  <si>
    <t>科目</t>
  </si>
  <si>
    <t>科目</t>
    <phoneticPr fontId="3"/>
  </si>
  <si>
    <t>客户，供应商</t>
    <phoneticPr fontId="3"/>
  </si>
  <si>
    <t>OSAKADO CORP. USD 97000 at RMB6.40</t>
    <phoneticPr fontId="3"/>
  </si>
  <si>
    <t>CHGS OSAKADO CORP.</t>
    <phoneticPr fontId="3"/>
  </si>
  <si>
    <r>
      <t>CH</t>
    </r>
    <r>
      <rPr>
        <sz val="11"/>
        <color theme="1"/>
        <rFont val="ＭＳ Ｐゴシック"/>
        <family val="2"/>
        <charset val="128"/>
      </rPr>
      <t>G</t>
    </r>
    <r>
      <rPr>
        <sz val="11"/>
        <color theme="1"/>
        <rFont val="Microsoft YaHei"/>
        <family val="2"/>
        <charset val="134"/>
      </rPr>
      <t>S TRADE SERVICES</t>
    </r>
    <phoneticPr fontId="3"/>
  </si>
  <si>
    <t xml:space="preserve"> </t>
    <phoneticPr fontId="3"/>
  </si>
  <si>
    <t>月末余额;  人民币 240,000.00</t>
    <rPh sb="0" eb="2">
      <t>ゲツマツ</t>
    </rPh>
    <phoneticPr fontId="3"/>
  </si>
  <si>
    <t>客户</t>
  </si>
  <si>
    <t>供应商</t>
  </si>
  <si>
    <r>
      <t>客户</t>
    </r>
    <r>
      <rPr>
        <b/>
        <sz val="11"/>
        <color theme="1"/>
        <rFont val="ＭＳ Ｐゴシック"/>
        <family val="2"/>
        <charset val="128"/>
      </rPr>
      <t>/</t>
    </r>
    <r>
      <rPr>
        <b/>
        <sz val="11"/>
        <color theme="1"/>
        <rFont val="Microsoft YaHei"/>
        <family val="2"/>
        <charset val="134"/>
      </rPr>
      <t>供应商</t>
    </r>
    <phoneticPr fontId="3"/>
  </si>
  <si>
    <t>付款</t>
    <phoneticPr fontId="3"/>
  </si>
  <si>
    <t>(空白)</t>
  </si>
  <si>
    <t>総計</t>
  </si>
  <si>
    <t>科目名称</t>
    <rPh sb="2" eb="4">
      <t>メイショウ</t>
    </rPh>
    <phoneticPr fontId="3"/>
  </si>
  <si>
    <t>納品書の自動転記</t>
    <rPh sb="0" eb="3">
      <t>ノウヒンショ</t>
    </rPh>
    <rPh sb="4" eb="8">
      <t>ジドウテンキ</t>
    </rPh>
    <phoneticPr fontId="3"/>
  </si>
  <si>
    <t>・発注書の内容量と単価をVLOOKUP関数で自動転記させる。</t>
    <rPh sb="1" eb="4">
      <t>ハッチュウショ</t>
    </rPh>
    <rPh sb="5" eb="8">
      <t>ナイヨウリョウ</t>
    </rPh>
    <rPh sb="9" eb="11">
      <t>タンカ</t>
    </rPh>
    <rPh sb="19" eb="21">
      <t>カンスウ</t>
    </rPh>
    <rPh sb="22" eb="26">
      <t>ジドウテンキ</t>
    </rPh>
    <phoneticPr fontId="3"/>
  </si>
  <si>
    <t>・「プルダウンリスト」より品名を選び、個数を入力すれば、金額及び合計金額も自動計算する。</t>
    <rPh sb="13" eb="15">
      <t>ヒンメイ</t>
    </rPh>
    <rPh sb="16" eb="17">
      <t>エラ</t>
    </rPh>
    <rPh sb="19" eb="21">
      <t>コスウ</t>
    </rPh>
    <rPh sb="22" eb="24">
      <t>ニュウリョク</t>
    </rPh>
    <rPh sb="28" eb="30">
      <t>キンガク</t>
    </rPh>
    <rPh sb="30" eb="31">
      <t>オヨ</t>
    </rPh>
    <rPh sb="32" eb="36">
      <t>ゴウケイキンガク</t>
    </rPh>
    <rPh sb="37" eb="41">
      <t>ジドウケイサン</t>
    </rPh>
    <phoneticPr fontId="3"/>
  </si>
  <si>
    <t>製品リスト</t>
    <rPh sb="0" eb="2">
      <t>セイヒン</t>
    </rPh>
    <phoneticPr fontId="3"/>
  </si>
  <si>
    <t>発注書</t>
    <rPh sb="0" eb="3">
      <t>ハッチュウショ</t>
    </rPh>
    <phoneticPr fontId="3"/>
  </si>
  <si>
    <t>管理No.</t>
    <rPh sb="0" eb="2">
      <t>カンリ</t>
    </rPh>
    <phoneticPr fontId="3"/>
  </si>
  <si>
    <t>カテゴリー</t>
    <phoneticPr fontId="3"/>
  </si>
  <si>
    <t>品名</t>
    <rPh sb="0" eb="2">
      <t>ヒンメイ</t>
    </rPh>
    <phoneticPr fontId="3"/>
  </si>
  <si>
    <t>内容量</t>
    <rPh sb="0" eb="3">
      <t>ナイヨウリョウ</t>
    </rPh>
    <phoneticPr fontId="3"/>
  </si>
  <si>
    <t>金額</t>
    <rPh sb="0" eb="2">
      <t>キンガク</t>
    </rPh>
    <phoneticPr fontId="3"/>
  </si>
  <si>
    <t>合計金額</t>
    <rPh sb="0" eb="4">
      <t>ゴウケイキンガク</t>
    </rPh>
    <phoneticPr fontId="3"/>
  </si>
  <si>
    <t>清涼飲料</t>
    <rPh sb="0" eb="4">
      <t>セイリョウインリョウ</t>
    </rPh>
    <phoneticPr fontId="3"/>
  </si>
  <si>
    <t>コーラ</t>
    <phoneticPr fontId="3"/>
  </si>
  <si>
    <t>500ML</t>
    <phoneticPr fontId="3"/>
  </si>
  <si>
    <t>コーヒー</t>
    <phoneticPr fontId="3"/>
  </si>
  <si>
    <t>発注No.</t>
    <rPh sb="0" eb="2">
      <t>ハッチュウ</t>
    </rPh>
    <phoneticPr fontId="3"/>
  </si>
  <si>
    <t>単価</t>
    <rPh sb="0" eb="2">
      <t>タンカ</t>
    </rPh>
    <phoneticPr fontId="3"/>
  </si>
  <si>
    <t>個数</t>
    <rPh sb="0" eb="2">
      <t>コスウ</t>
    </rPh>
    <phoneticPr fontId="3"/>
  </si>
  <si>
    <t>コーヒー(無糖)</t>
    <rPh sb="5" eb="7">
      <t>ムトウ</t>
    </rPh>
    <phoneticPr fontId="3"/>
  </si>
  <si>
    <t>ミルクティ</t>
    <phoneticPr fontId="3"/>
  </si>
  <si>
    <t>サイダー</t>
    <phoneticPr fontId="3"/>
  </si>
  <si>
    <t>コーラ</t>
  </si>
  <si>
    <t>オレンジジュース</t>
    <phoneticPr fontId="3"/>
  </si>
  <si>
    <t>リンゴジュース</t>
    <phoneticPr fontId="3"/>
  </si>
  <si>
    <t>ミルクティ</t>
  </si>
  <si>
    <t>お茶</t>
    <rPh sb="1" eb="2">
      <t>チャ</t>
    </rPh>
    <phoneticPr fontId="3"/>
  </si>
  <si>
    <t>ウーロン茶</t>
    <rPh sb="4" eb="5">
      <t>チャ</t>
    </rPh>
    <phoneticPr fontId="3"/>
  </si>
  <si>
    <t>120</t>
    <phoneticPr fontId="3"/>
  </si>
  <si>
    <t>1.5L</t>
    <phoneticPr fontId="3"/>
  </si>
  <si>
    <t>200</t>
    <phoneticPr fontId="3"/>
  </si>
  <si>
    <t>緑茶</t>
    <rPh sb="0" eb="2">
      <t>リョクチャ</t>
    </rPh>
    <phoneticPr fontId="3"/>
  </si>
  <si>
    <t>150</t>
    <phoneticPr fontId="3"/>
  </si>
  <si>
    <t>麦茶</t>
    <rPh sb="0" eb="2">
      <t>ムギチャ</t>
    </rPh>
    <phoneticPr fontId="3"/>
  </si>
  <si>
    <t>140</t>
    <phoneticPr fontId="3"/>
  </si>
  <si>
    <t>ハト麦茶</t>
    <rPh sb="2" eb="4">
      <t>ムギチャ</t>
    </rPh>
    <phoneticPr fontId="3"/>
  </si>
  <si>
    <t>170</t>
    <phoneticPr fontId="3"/>
  </si>
  <si>
    <t>ほうじ茶</t>
    <rPh sb="3" eb="4">
      <t>チャ</t>
    </rPh>
    <phoneticPr fontId="3"/>
  </si>
  <si>
    <t>プーアル茶</t>
    <rPh sb="4" eb="5">
      <t>チャ</t>
    </rPh>
    <phoneticPr fontId="3"/>
  </si>
  <si>
    <t>紅茶</t>
    <rPh sb="0" eb="2">
      <t>コウチャ</t>
    </rPh>
    <phoneticPr fontId="3"/>
  </si>
  <si>
    <t>100</t>
    <phoneticPr fontId="3"/>
  </si>
  <si>
    <t>売価リストに原価マスタから原価情報を追加</t>
    <rPh sb="0" eb="2">
      <t>バイカ</t>
    </rPh>
    <rPh sb="6" eb="8">
      <t>ゲンカ</t>
    </rPh>
    <rPh sb="13" eb="15">
      <t>ゲンカ</t>
    </rPh>
    <rPh sb="15" eb="17">
      <t>ジョウホウ</t>
    </rPh>
    <rPh sb="18" eb="20">
      <t>ツイカ</t>
    </rPh>
    <phoneticPr fontId="3"/>
  </si>
  <si>
    <t>・原価＠データをVLOOKUP関数で製品原価マスタから自動転記させる。</t>
    <rPh sb="1" eb="3">
      <t>ゲンカ</t>
    </rPh>
    <rPh sb="15" eb="17">
      <t>カンスウ</t>
    </rPh>
    <rPh sb="18" eb="22">
      <t>セイヒンゲンカ</t>
    </rPh>
    <rPh sb="27" eb="31">
      <t>ジドウテンキ</t>
    </rPh>
    <phoneticPr fontId="3"/>
  </si>
  <si>
    <t>・製品毎の原価率を計算させる。</t>
    <rPh sb="1" eb="4">
      <t>セイヒンゴト</t>
    </rPh>
    <rPh sb="5" eb="8">
      <t>ゲンカリツ</t>
    </rPh>
    <rPh sb="9" eb="11">
      <t>ケイサン</t>
    </rPh>
    <phoneticPr fontId="3"/>
  </si>
  <si>
    <t>製品販売リスト</t>
    <rPh sb="0" eb="2">
      <t>セイヒン</t>
    </rPh>
    <rPh sb="2" eb="4">
      <t>ハンバイ</t>
    </rPh>
    <phoneticPr fontId="3"/>
  </si>
  <si>
    <t>　</t>
    <phoneticPr fontId="3"/>
  </si>
  <si>
    <t>製品売価&amp;原価リスト</t>
    <rPh sb="0" eb="2">
      <t>セイヒン</t>
    </rPh>
    <rPh sb="2" eb="4">
      <t>バイカ</t>
    </rPh>
    <rPh sb="5" eb="7">
      <t>ゲンカ</t>
    </rPh>
    <phoneticPr fontId="3"/>
  </si>
  <si>
    <t>Inv. No.</t>
    <phoneticPr fontId="3"/>
  </si>
  <si>
    <t>Date</t>
    <phoneticPr fontId="3"/>
  </si>
  <si>
    <t>品番</t>
    <rPh sb="0" eb="2">
      <t>ヒンバン</t>
    </rPh>
    <phoneticPr fontId="3"/>
  </si>
  <si>
    <t>販売単価</t>
    <rPh sb="0" eb="4">
      <t>ハンバイタンカ</t>
    </rPh>
    <phoneticPr fontId="3"/>
  </si>
  <si>
    <t>販売金額</t>
    <rPh sb="0" eb="4">
      <t>ハンバイキンガク</t>
    </rPh>
    <phoneticPr fontId="3"/>
  </si>
  <si>
    <t>原価@</t>
    <rPh sb="0" eb="2">
      <t>ゲンカ</t>
    </rPh>
    <phoneticPr fontId="3"/>
  </si>
  <si>
    <t>製品原価</t>
    <rPh sb="0" eb="4">
      <t>セイヒンゲンカ</t>
    </rPh>
    <phoneticPr fontId="3"/>
  </si>
  <si>
    <t>原価率</t>
    <rPh sb="0" eb="3">
      <t>ゲンカリツ</t>
    </rPh>
    <phoneticPr fontId="3"/>
  </si>
  <si>
    <t>1001</t>
    <phoneticPr fontId="3"/>
  </si>
  <si>
    <t>S001</t>
    <phoneticPr fontId="3"/>
  </si>
  <si>
    <t>12</t>
    <phoneticPr fontId="3"/>
  </si>
  <si>
    <t>1002</t>
    <phoneticPr fontId="3"/>
  </si>
  <si>
    <t>S002</t>
    <phoneticPr fontId="3"/>
  </si>
  <si>
    <t>1003</t>
  </si>
  <si>
    <t>S003</t>
    <phoneticPr fontId="3"/>
  </si>
  <si>
    <t>24</t>
    <phoneticPr fontId="3"/>
  </si>
  <si>
    <t>1004</t>
  </si>
  <si>
    <t>コーヒー</t>
  </si>
  <si>
    <t>60</t>
    <phoneticPr fontId="3"/>
  </si>
  <si>
    <t>1005</t>
  </si>
  <si>
    <t>1006</t>
  </si>
  <si>
    <t>オレンジジュース</t>
  </si>
  <si>
    <t>S006</t>
    <phoneticPr fontId="3"/>
  </si>
  <si>
    <t>1007</t>
  </si>
  <si>
    <t>リンゴジュース</t>
  </si>
  <si>
    <t>S007</t>
    <phoneticPr fontId="3"/>
  </si>
  <si>
    <t>36</t>
    <phoneticPr fontId="3"/>
  </si>
  <si>
    <t>1008</t>
    <phoneticPr fontId="3"/>
  </si>
  <si>
    <t>1009</t>
    <phoneticPr fontId="3"/>
  </si>
  <si>
    <t>1010</t>
    <phoneticPr fontId="3"/>
  </si>
  <si>
    <t>合計</t>
    <rPh sb="0" eb="2">
      <t>ゴウケイ</t>
    </rPh>
    <phoneticPr fontId="3"/>
  </si>
  <si>
    <t>製品原価マスタ</t>
    <rPh sb="0" eb="2">
      <t>セイヒン</t>
    </rPh>
    <rPh sb="2" eb="4">
      <t>ゲンカ</t>
    </rPh>
    <phoneticPr fontId="3"/>
  </si>
  <si>
    <t>原価</t>
    <rPh sb="0" eb="2">
      <t>ゲンカ</t>
    </rPh>
    <phoneticPr fontId="3"/>
  </si>
  <si>
    <t>S001</t>
  </si>
  <si>
    <t>80</t>
    <phoneticPr fontId="3"/>
  </si>
  <si>
    <t>90</t>
    <phoneticPr fontId="3"/>
  </si>
  <si>
    <t>S003</t>
  </si>
  <si>
    <t>S004</t>
  </si>
  <si>
    <t>S005</t>
  </si>
  <si>
    <t>S006</t>
  </si>
  <si>
    <t>S007</t>
  </si>
  <si>
    <t>年間販売計画</t>
    <rPh sb="0" eb="2">
      <t>ネンカン</t>
    </rPh>
    <rPh sb="2" eb="6">
      <t>ハンバイケイカク</t>
    </rPh>
    <phoneticPr fontId="3"/>
  </si>
  <si>
    <t>単位:千元</t>
    <rPh sb="0" eb="2">
      <t>タンイ</t>
    </rPh>
    <rPh sb="3" eb="4">
      <t>セン</t>
    </rPh>
    <rPh sb="4" eb="5">
      <t>ゲン</t>
    </rPh>
    <phoneticPr fontId="3"/>
  </si>
  <si>
    <t>1月</t>
    <rPh sb="1" eb="2">
      <t>ツキ</t>
    </rPh>
    <phoneticPr fontId="3"/>
  </si>
  <si>
    <t>2月</t>
    <rPh sb="1" eb="2">
      <t>ツキ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</si>
  <si>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</si>
  <si>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</si>
  <si>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</si>
  <si>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</si>
  <si>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</si>
  <si>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</si>
  <si>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</si>
  <si>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</si>
  <si>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</si>
  <si>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</si>
  <si>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A</t>
    <phoneticPr fontId="3"/>
  </si>
  <si>
    <t>B</t>
    <phoneticPr fontId="3"/>
  </si>
  <si>
    <t>C</t>
    <phoneticPr fontId="3"/>
  </si>
  <si>
    <t>Total</t>
    <phoneticPr fontId="3"/>
  </si>
  <si>
    <t>【製品別販売計画】</t>
    <rPh sb="1" eb="4">
      <t>セイヒンベツ</t>
    </rPh>
    <rPh sb="4" eb="8">
      <t>ハンバイケイカク</t>
    </rPh>
    <phoneticPr fontId="3"/>
  </si>
  <si>
    <t>受注確度　A：90~100%、B：50%～89%、C：30%～49%</t>
    <rPh sb="0" eb="4">
      <t>ジュチュウカクド</t>
    </rPh>
    <phoneticPr fontId="3"/>
  </si>
  <si>
    <t>受注　　　確度</t>
    <phoneticPr fontId="3"/>
  </si>
  <si>
    <t>顧客</t>
    <rPh sb="0" eb="2">
      <t>コキャク</t>
    </rPh>
    <phoneticPr fontId="3"/>
  </si>
  <si>
    <t>売価(元)</t>
  </si>
  <si>
    <t>原価　　　　　　　　　　　　　　　　(①+②)</t>
    <phoneticPr fontId="3"/>
  </si>
  <si>
    <t>材料費①</t>
  </si>
  <si>
    <t>工数②</t>
  </si>
  <si>
    <t>粗利額</t>
  </si>
  <si>
    <t>粗利率</t>
  </si>
  <si>
    <t>単位</t>
    <rPh sb="0" eb="2">
      <t>タンイ</t>
    </rPh>
    <phoneticPr fontId="3"/>
  </si>
  <si>
    <t>2022年</t>
    <rPh sb="4" eb="5">
      <t>ネン</t>
    </rPh>
    <phoneticPr fontId="3"/>
  </si>
  <si>
    <t>A</t>
  </si>
  <si>
    <t>Tokyo Trading</t>
  </si>
  <si>
    <t>1,000元</t>
  </si>
  <si>
    <t>個</t>
  </si>
  <si>
    <t>Osaka Shoji</t>
    <phoneticPr fontId="3"/>
  </si>
  <si>
    <t>Fukuoka Co</t>
    <phoneticPr fontId="3"/>
  </si>
  <si>
    <t>Yokohama Inc.</t>
    <phoneticPr fontId="3"/>
  </si>
  <si>
    <t>KK Nagoya</t>
    <phoneticPr fontId="3"/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</si>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</sst>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0_);[Red]\(#,##0.00\)"/>
    <numFmt numFmtId="177" formatCode="0_ "/>
    <numFmt numFmtId="178" formatCode="#,##0.00_ "/>
    <numFmt numFmtId="179" formatCode="yyyy/mm/dd"/>
    <numFmt numFmtId="180" formatCode="#,##0_ "/>
    <numFmt numFmtId="181" formatCode="#,##0_);[Red]\(#,##0\)"/>
    <numFmt numFmtId="182" formatCode="0.0%"/>
  </numFmts>
  <fonts count="29">
    <font>
      <sz val="11"/>
      <color theme="1"/>
      <name val="Yu Gothic"/>
      <family val="2"/>
      <scheme val="minor"/>
    </font>
    <font>
      <sz val="18"/>
      <color theme="3"/>
      <name val="Yu Gothic Light"/>
      <family val="2"/>
      <charset val="128"/>
      <scheme val="major"/>
    </font>
    <font>
      <b/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icrosoft YaHei"/>
      <family val="2"/>
      <charset val="134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Microsoft YaHei"/>
      <family val="2"/>
      <charset val="134"/>
    </font>
    <font>
      <sz val="11"/>
      <color theme="1"/>
      <name val="ＭＳ Ｐゴシック"/>
      <family val="2"/>
      <charset val="128"/>
    </font>
    <font>
      <b/>
      <sz val="12"/>
      <color theme="1"/>
      <name val="Microsoft YaHei"/>
      <family val="2"/>
      <charset val="134"/>
    </font>
    <font>
      <sz val="12"/>
      <color theme="1"/>
      <name val="Microsoft YaHei"/>
      <family val="2"/>
      <charset val="134"/>
    </font>
    <font>
      <sz val="12"/>
      <name val="Microsoft YaHei"/>
      <family val="2"/>
      <charset val="134"/>
    </font>
    <font>
      <b/>
      <sz val="11"/>
      <color theme="1"/>
      <name val="ＭＳ Ｐゴシック"/>
      <family val="2"/>
      <charset val="128"/>
    </font>
    <font>
      <u/>
      <sz val="11"/>
      <color theme="10"/>
      <name val="Yu Gothic"/>
      <family val="2"/>
      <scheme val="minor"/>
    </font>
    <font>
      <b/>
      <sz val="10"/>
      <name val="Microsoft YaHei"/>
      <family val="2"/>
      <charset val="134"/>
    </font>
    <font>
      <sz val="10"/>
      <name val="Microsoft YaHei"/>
      <family val="2"/>
      <charset val="134"/>
    </font>
    <font>
      <b/>
      <sz val="10"/>
      <color theme="1"/>
      <name val="Microsoft YaHei"/>
      <family val="2"/>
      <charset val="134"/>
    </font>
    <font>
      <sz val="11"/>
      <name val="Microsoft YaHei"/>
      <family val="2"/>
      <charset val="134"/>
    </font>
    <font>
      <b/>
      <sz val="11"/>
      <color theme="1"/>
      <name val="ＭＳ Ｐゴシック"/>
      <family val="3"/>
      <charset val="128"/>
    </font>
    <font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u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166">
    <xf numFmtId="0" fontId="0" fillId="0" borderId="0" xfId="0"/>
    <xf numFmtId="176" fontId="2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176" fontId="0" fillId="0" borderId="0" xfId="0" applyNumberFormat="1" applyFill="1"/>
    <xf numFmtId="179" fontId="5" fillId="0" borderId="0" xfId="0" applyNumberFormat="1" applyFont="1" applyFill="1"/>
    <xf numFmtId="176" fontId="5" fillId="0" borderId="0" xfId="0" applyNumberFormat="1" applyFont="1" applyFill="1"/>
    <xf numFmtId="177" fontId="6" fillId="0" borderId="0" xfId="0" applyNumberFormat="1" applyFont="1" applyFill="1" applyAlignment="1">
      <alignment horizontal="left"/>
    </xf>
    <xf numFmtId="179" fontId="5" fillId="0" borderId="0" xfId="0" applyNumberFormat="1" applyFont="1"/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/>
    <xf numFmtId="176" fontId="4" fillId="0" borderId="0" xfId="0" applyNumberFormat="1" applyFont="1" applyFill="1"/>
    <xf numFmtId="178" fontId="4" fillId="0" borderId="0" xfId="0" applyNumberFormat="1" applyFont="1" applyFill="1"/>
    <xf numFmtId="179" fontId="7" fillId="0" borderId="1" xfId="0" applyNumberFormat="1" applyFont="1" applyFill="1" applyBorder="1" applyAlignment="1">
      <alignment horizontal="center" vertical="top"/>
    </xf>
    <xf numFmtId="176" fontId="7" fillId="0" borderId="1" xfId="0" applyNumberFormat="1" applyFont="1" applyFill="1" applyBorder="1" applyAlignment="1">
      <alignment horizontal="center" vertical="top"/>
    </xf>
    <xf numFmtId="178" fontId="0" fillId="0" borderId="0" xfId="0" applyNumberFormat="1"/>
    <xf numFmtId="49" fontId="0" fillId="0" borderId="0" xfId="0" applyNumberFormat="1" applyAlignment="1">
      <alignment horizontal="left"/>
    </xf>
    <xf numFmtId="177" fontId="6" fillId="2" borderId="0" xfId="0" applyNumberFormat="1" applyFont="1" applyFill="1" applyAlignment="1">
      <alignment horizontal="left"/>
    </xf>
    <xf numFmtId="179" fontId="4" fillId="0" borderId="0" xfId="0" applyNumberFormat="1" applyFont="1" applyFill="1"/>
    <xf numFmtId="0" fontId="7" fillId="0" borderId="1" xfId="0" applyFont="1" applyFill="1" applyBorder="1" applyAlignment="1">
      <alignment horizontal="center" vertical="top"/>
    </xf>
    <xf numFmtId="179" fontId="9" fillId="0" borderId="0" xfId="0" applyNumberFormat="1" applyFont="1" applyFill="1"/>
    <xf numFmtId="177" fontId="11" fillId="0" borderId="0" xfId="0" applyNumberFormat="1" applyFont="1" applyFill="1" applyAlignment="1">
      <alignment horizontal="left"/>
    </xf>
    <xf numFmtId="0" fontId="10" fillId="0" borderId="0" xfId="0" applyFont="1"/>
    <xf numFmtId="0" fontId="13" fillId="0" borderId="0" xfId="1"/>
    <xf numFmtId="49" fontId="14" fillId="0" borderId="0" xfId="0" applyNumberFormat="1" applyFont="1" applyAlignment="1">
      <alignment horizontal="left"/>
    </xf>
    <xf numFmtId="0" fontId="14" fillId="0" borderId="0" xfId="0" applyFont="1"/>
    <xf numFmtId="178" fontId="4" fillId="0" borderId="0" xfId="0" applyNumberFormat="1" applyFont="1"/>
    <xf numFmtId="49" fontId="15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178" fontId="4" fillId="0" borderId="2" xfId="0" applyNumberFormat="1" applyFont="1" applyBorder="1"/>
    <xf numFmtId="177" fontId="15" fillId="0" borderId="3" xfId="0" applyNumberFormat="1" applyFont="1" applyBorder="1" applyAlignment="1">
      <alignment horizontal="left"/>
    </xf>
    <xf numFmtId="49" fontId="15" fillId="0" borderId="3" xfId="0" applyNumberFormat="1" applyFont="1" applyBorder="1" applyAlignment="1">
      <alignment horizontal="left"/>
    </xf>
    <xf numFmtId="0" fontId="15" fillId="0" borderId="3" xfId="0" applyFont="1" applyBorder="1"/>
    <xf numFmtId="178" fontId="4" fillId="0" borderId="3" xfId="0" applyNumberFormat="1" applyFont="1" applyBorder="1"/>
    <xf numFmtId="177" fontId="15" fillId="0" borderId="4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left" vertical="center"/>
    </xf>
    <xf numFmtId="0" fontId="15" fillId="0" borderId="4" xfId="0" applyFont="1" applyBorder="1"/>
    <xf numFmtId="178" fontId="4" fillId="0" borderId="4" xfId="0" applyNumberFormat="1" applyFont="1" applyBorder="1"/>
    <xf numFmtId="49" fontId="15" fillId="0" borderId="4" xfId="0" applyNumberFormat="1" applyFont="1" applyBorder="1" applyAlignment="1">
      <alignment horizontal="left"/>
    </xf>
    <xf numFmtId="49" fontId="15" fillId="0" borderId="5" xfId="0" applyNumberFormat="1" applyFont="1" applyBorder="1" applyAlignment="1">
      <alignment horizontal="left" vertical="center"/>
    </xf>
    <xf numFmtId="0" fontId="15" fillId="0" borderId="5" xfId="0" applyFont="1" applyBorder="1"/>
    <xf numFmtId="178" fontId="4" fillId="0" borderId="5" xfId="0" applyNumberFormat="1" applyFont="1" applyBorder="1"/>
    <xf numFmtId="0" fontId="7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177" fontId="15" fillId="0" borderId="0" xfId="0" applyNumberFormat="1" applyFont="1" applyFill="1" applyAlignment="1">
      <alignment horizontal="left"/>
    </xf>
    <xf numFmtId="177" fontId="17" fillId="0" borderId="0" xfId="0" applyNumberFormat="1" applyFont="1" applyFill="1" applyAlignment="1">
      <alignment horizontal="left"/>
    </xf>
    <xf numFmtId="0" fontId="4" fillId="0" borderId="0" xfId="0" pivotButton="1" applyFont="1"/>
    <xf numFmtId="180" fontId="4" fillId="0" borderId="0" xfId="0" applyNumberFormat="1" applyFont="1"/>
    <xf numFmtId="0" fontId="18" fillId="0" borderId="0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177" fontId="15" fillId="2" borderId="0" xfId="0" applyNumberFormat="1" applyFont="1" applyFill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4" fillId="3" borderId="0" xfId="0" applyFont="1" applyFill="1"/>
    <xf numFmtId="176" fontId="4" fillId="3" borderId="0" xfId="0" applyNumberFormat="1" applyFont="1" applyFill="1"/>
    <xf numFmtId="178" fontId="4" fillId="3" borderId="0" xfId="0" applyNumberFormat="1" applyFont="1" applyFill="1"/>
    <xf numFmtId="0" fontId="20" fillId="0" borderId="0" xfId="0" applyFont="1"/>
    <xf numFmtId="49" fontId="20" fillId="0" borderId="6" xfId="0" applyNumberFormat="1" applyFont="1" applyBorder="1"/>
    <xf numFmtId="49" fontId="20" fillId="0" borderId="7" xfId="0" applyNumberFormat="1" applyFont="1" applyBorder="1"/>
    <xf numFmtId="180" fontId="0" fillId="0" borderId="8" xfId="0" applyNumberFormat="1" applyBorder="1"/>
    <xf numFmtId="49" fontId="0" fillId="0" borderId="9" xfId="0" applyNumberFormat="1" applyBorder="1"/>
    <xf numFmtId="49" fontId="0" fillId="0" borderId="9" xfId="0" applyNumberFormat="1" applyBorder="1" applyAlignment="1">
      <alignment horizontal="right"/>
    </xf>
    <xf numFmtId="49" fontId="0" fillId="0" borderId="10" xfId="0" applyNumberFormat="1" applyBorder="1"/>
    <xf numFmtId="49" fontId="0" fillId="0" borderId="10" xfId="0" applyNumberFormat="1" applyBorder="1" applyAlignment="1">
      <alignment horizontal="right"/>
    </xf>
    <xf numFmtId="49" fontId="20" fillId="0" borderId="1" xfId="0" applyNumberFormat="1" applyFont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/>
    <xf numFmtId="49" fontId="0" fillId="0" borderId="11" xfId="0" applyNumberFormat="1" applyBorder="1"/>
    <xf numFmtId="49" fontId="0" fillId="0" borderId="11" xfId="0" applyNumberFormat="1" applyBorder="1" applyAlignment="1">
      <alignment horizontal="right"/>
    </xf>
    <xf numFmtId="49" fontId="20" fillId="0" borderId="6" xfId="0" applyNumberFormat="1" applyFont="1" applyBorder="1" applyAlignment="1">
      <alignment vertical="center"/>
    </xf>
    <xf numFmtId="49" fontId="20" fillId="0" borderId="6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vertic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/>
    </xf>
    <xf numFmtId="179" fontId="0" fillId="0" borderId="9" xfId="0" applyNumberFormat="1" applyBorder="1"/>
    <xf numFmtId="180" fontId="0" fillId="0" borderId="12" xfId="0" applyNumberFormat="1" applyBorder="1" applyAlignment="1">
      <alignment horizontal="right"/>
    </xf>
    <xf numFmtId="177" fontId="0" fillId="2" borderId="9" xfId="0" applyNumberFormat="1" applyFill="1" applyBorder="1" applyAlignment="1">
      <alignment horizontal="right"/>
    </xf>
    <xf numFmtId="181" fontId="0" fillId="2" borderId="12" xfId="0" applyNumberFormat="1" applyFill="1" applyBorder="1" applyAlignment="1">
      <alignment horizontal="right"/>
    </xf>
    <xf numFmtId="182" fontId="0" fillId="2" borderId="12" xfId="0" applyNumberFormat="1" applyFill="1" applyBorder="1"/>
    <xf numFmtId="180" fontId="0" fillId="0" borderId="10" xfId="0" applyNumberFormat="1" applyBorder="1"/>
    <xf numFmtId="177" fontId="0" fillId="2" borderId="10" xfId="0" applyNumberFormat="1" applyFill="1" applyBorder="1" applyAlignment="1">
      <alignment horizontal="right"/>
    </xf>
    <xf numFmtId="181" fontId="0" fillId="2" borderId="10" xfId="0" applyNumberFormat="1" applyFill="1" applyBorder="1" applyAlignment="1">
      <alignment horizontal="right"/>
    </xf>
    <xf numFmtId="182" fontId="0" fillId="2" borderId="10" xfId="0" applyNumberFormat="1" applyFill="1" applyBorder="1"/>
    <xf numFmtId="179" fontId="0" fillId="0" borderId="11" xfId="0" applyNumberFormat="1" applyBorder="1"/>
    <xf numFmtId="180" fontId="0" fillId="0" borderId="11" xfId="0" applyNumberFormat="1" applyBorder="1"/>
    <xf numFmtId="177" fontId="0" fillId="2" borderId="11" xfId="0" applyNumberFormat="1" applyFill="1" applyBorder="1" applyAlignment="1">
      <alignment horizontal="right"/>
    </xf>
    <xf numFmtId="181" fontId="0" fillId="2" borderId="11" xfId="0" applyNumberFormat="1" applyFill="1" applyBorder="1" applyAlignment="1">
      <alignment horizontal="right"/>
    </xf>
    <xf numFmtId="182" fontId="0" fillId="2" borderId="11" xfId="0" applyNumberFormat="1" applyFill="1" applyBorder="1"/>
    <xf numFmtId="0" fontId="0" fillId="0" borderId="6" xfId="0" applyBorder="1"/>
    <xf numFmtId="180" fontId="0" fillId="0" borderId="6" xfId="0" applyNumberFormat="1" applyBorder="1"/>
    <xf numFmtId="49" fontId="0" fillId="0" borderId="0" xfId="0" applyNumberFormat="1"/>
    <xf numFmtId="49" fontId="20" fillId="0" borderId="0" xfId="0" applyNumberFormat="1" applyFont="1"/>
    <xf numFmtId="49" fontId="0" fillId="0" borderId="0" xfId="0" applyNumberFormat="1" applyAlignment="1">
      <alignment horizontal="right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180" fontId="24" fillId="2" borderId="13" xfId="0" applyNumberFormat="1" applyFont="1" applyFill="1" applyBorder="1" applyAlignment="1">
      <alignment horizontal="right" vertical="center"/>
    </xf>
    <xf numFmtId="0" fontId="22" fillId="2" borderId="14" xfId="0" applyFont="1" applyFill="1" applyBorder="1" applyAlignment="1">
      <alignment horizontal="center" vertical="center"/>
    </xf>
    <xf numFmtId="180" fontId="24" fillId="2" borderId="14" xfId="0" applyNumberFormat="1" applyFont="1" applyFill="1" applyBorder="1" applyAlignment="1">
      <alignment horizontal="right" vertical="center"/>
    </xf>
    <xf numFmtId="0" fontId="22" fillId="2" borderId="15" xfId="0" applyFont="1" applyFill="1" applyBorder="1" applyAlignment="1">
      <alignment horizontal="center" vertical="center"/>
    </xf>
    <xf numFmtId="180" fontId="24" fillId="2" borderId="15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3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3" fontId="23" fillId="4" borderId="2" xfId="0" applyNumberFormat="1" applyFont="1" applyFill="1" applyBorder="1" applyAlignment="1">
      <alignment vertical="center"/>
    </xf>
    <xf numFmtId="181" fontId="22" fillId="0" borderId="2" xfId="3" applyNumberFormat="1" applyFont="1" applyFill="1" applyBorder="1" applyAlignment="1">
      <alignment vertical="center"/>
    </xf>
    <xf numFmtId="181" fontId="22" fillId="4" borderId="2" xfId="3" applyNumberFormat="1" applyFont="1" applyFill="1" applyBorder="1" applyAlignment="1">
      <alignment vertical="center"/>
    </xf>
    <xf numFmtId="182" fontId="22" fillId="0" borderId="2" xfId="3" applyNumberFormat="1" applyFont="1" applyFill="1" applyBorder="1" applyAlignment="1">
      <alignment vertical="center"/>
    </xf>
    <xf numFmtId="0" fontId="22" fillId="0" borderId="2" xfId="0" applyFont="1" applyBorder="1" applyAlignment="1">
      <alignment horizontal="right" vertical="center"/>
    </xf>
    <xf numFmtId="38" fontId="23" fillId="0" borderId="2" xfId="2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181" fontId="22" fillId="0" borderId="0" xfId="3" applyNumberFormat="1" applyFont="1" applyFill="1" applyBorder="1" applyAlignment="1">
      <alignment vertical="center"/>
    </xf>
    <xf numFmtId="182" fontId="22" fillId="0" borderId="0" xfId="3" applyNumberFormat="1" applyFont="1" applyFill="1" applyBorder="1" applyAlignment="1">
      <alignment vertical="center"/>
    </xf>
    <xf numFmtId="0" fontId="22" fillId="5" borderId="0" xfId="0" applyFont="1" applyFill="1" applyAlignment="1">
      <alignment horizontal="right" vertical="center"/>
    </xf>
    <xf numFmtId="38" fontId="23" fillId="5" borderId="0" xfId="2" applyFont="1" applyFill="1" applyBorder="1" applyAlignment="1">
      <alignment horizontal="right" vertical="center"/>
    </xf>
    <xf numFmtId="38" fontId="23" fillId="0" borderId="0" xfId="2" applyFont="1" applyFill="1" applyBorder="1" applyAlignment="1">
      <alignment horizontal="right" vertical="center"/>
    </xf>
    <xf numFmtId="0" fontId="22" fillId="0" borderId="16" xfId="0" applyFont="1" applyBorder="1" applyAlignment="1">
      <alignment vertical="center"/>
    </xf>
    <xf numFmtId="3" fontId="23" fillId="4" borderId="16" xfId="0" applyNumberFormat="1" applyFont="1" applyFill="1" applyBorder="1" applyAlignment="1">
      <alignment vertical="center"/>
    </xf>
    <xf numFmtId="181" fontId="22" fillId="0" borderId="16" xfId="3" applyNumberFormat="1" applyFont="1" applyFill="1" applyBorder="1" applyAlignment="1">
      <alignment vertical="center"/>
    </xf>
    <xf numFmtId="181" fontId="22" fillId="4" borderId="16" xfId="3" applyNumberFormat="1" applyFont="1" applyFill="1" applyBorder="1" applyAlignment="1">
      <alignment vertical="center"/>
    </xf>
    <xf numFmtId="182" fontId="22" fillId="0" borderId="16" xfId="3" applyNumberFormat="1" applyFont="1" applyFill="1" applyBorder="1" applyAlignment="1">
      <alignment vertical="center"/>
    </xf>
    <xf numFmtId="0" fontId="22" fillId="0" borderId="16" xfId="0" applyFont="1" applyBorder="1" applyAlignment="1">
      <alignment horizontal="right" vertical="center"/>
    </xf>
    <xf numFmtId="38" fontId="23" fillId="0" borderId="16" xfId="2" applyFont="1" applyFill="1" applyBorder="1" applyAlignment="1">
      <alignment horizontal="right" vertical="center"/>
    </xf>
    <xf numFmtId="0" fontId="22" fillId="0" borderId="17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181" fontId="22" fillId="0" borderId="17" xfId="3" applyNumberFormat="1" applyFont="1" applyFill="1" applyBorder="1" applyAlignment="1">
      <alignment vertical="center"/>
    </xf>
    <xf numFmtId="182" fontId="22" fillId="0" borderId="17" xfId="3" applyNumberFormat="1" applyFont="1" applyFill="1" applyBorder="1" applyAlignment="1">
      <alignment vertical="center"/>
    </xf>
    <xf numFmtId="0" fontId="22" fillId="5" borderId="17" xfId="0" applyFont="1" applyFill="1" applyBorder="1" applyAlignment="1">
      <alignment horizontal="right" vertical="center"/>
    </xf>
    <xf numFmtId="38" fontId="23" fillId="5" borderId="17" xfId="2" applyFont="1" applyFill="1" applyBorder="1" applyAlignment="1">
      <alignment horizontal="right" vertical="center"/>
    </xf>
    <xf numFmtId="38" fontId="23" fillId="0" borderId="17" xfId="2" applyFont="1" applyFill="1" applyBorder="1" applyAlignment="1">
      <alignment horizontal="right" vertical="center"/>
    </xf>
    <xf numFmtId="0" fontId="22" fillId="0" borderId="0" xfId="0" applyFont="1" applyAlignment="1">
      <alignment vertical="center" wrapText="1"/>
    </xf>
    <xf numFmtId="3" fontId="23" fillId="4" borderId="0" xfId="0" applyNumberFormat="1" applyFont="1" applyFill="1" applyAlignment="1">
      <alignment vertical="center"/>
    </xf>
    <xf numFmtId="181" fontId="22" fillId="4" borderId="0" xfId="3" applyNumberFormat="1" applyFont="1" applyFill="1" applyBorder="1" applyAlignment="1">
      <alignment vertical="center"/>
    </xf>
    <xf numFmtId="182" fontId="23" fillId="0" borderId="0" xfId="3" applyNumberFormat="1" applyFont="1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182" fontId="23" fillId="0" borderId="16" xfId="3" applyNumberFormat="1" applyFont="1" applyFill="1" applyBorder="1" applyAlignment="1">
      <alignment vertical="center"/>
    </xf>
    <xf numFmtId="182" fontId="27" fillId="0" borderId="0" xfId="3" applyNumberFormat="1" applyFont="1" applyFill="1" applyBorder="1" applyAlignment="1">
      <alignment vertical="center"/>
    </xf>
    <xf numFmtId="38" fontId="23" fillId="4" borderId="0" xfId="2" applyFont="1" applyFill="1" applyBorder="1" applyAlignment="1">
      <alignment vertical="center"/>
    </xf>
    <xf numFmtId="38" fontId="28" fillId="0" borderId="0" xfId="2" applyFont="1" applyFill="1" applyBorder="1" applyAlignment="1">
      <alignment vertical="center"/>
    </xf>
    <xf numFmtId="0" fontId="22" fillId="0" borderId="15" xfId="0" applyFont="1" applyBorder="1" applyAlignment="1">
      <alignment vertical="center"/>
    </xf>
    <xf numFmtId="3" fontId="22" fillId="0" borderId="15" xfId="0" applyNumberFormat="1" applyFont="1" applyBorder="1" applyAlignment="1">
      <alignment vertical="center"/>
    </xf>
    <xf numFmtId="3" fontId="22" fillId="0" borderId="15" xfId="0" applyNumberFormat="1" applyFont="1" applyBorder="1" applyAlignment="1">
      <alignment horizontal="center" vertical="center"/>
    </xf>
    <xf numFmtId="3" fontId="23" fillId="0" borderId="15" xfId="0" applyNumberFormat="1" applyFont="1" applyBorder="1" applyAlignment="1">
      <alignment horizontal="right" vertical="center"/>
    </xf>
    <xf numFmtId="3" fontId="23" fillId="0" borderId="0" xfId="0" applyNumberFormat="1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パーセント" xfId="3" builtinId="5"/>
    <cellStyle name="ハイパーリンク" xfId="1" builtinId="8"/>
    <cellStyle name="桁区切り" xfId="2" builtinId="6"/>
    <cellStyle name="標準" xfId="0" builtinId="0"/>
  </cellStyles>
  <dxfs count="30"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font>
        <name val="Microsoft YaHei"/>
        <charset val="134"/>
        <scheme val="none"/>
      </font>
    </dxf>
    <dxf>
      <border diagonalUp="0" diagonalDown="0">
        <left/>
        <right/>
        <top style="dotted">
          <color auto="1"/>
        </top>
        <bottom style="dotted">
          <color auto="1"/>
        </bottom>
        <vertical/>
        <horizontal/>
      </border>
    </dxf>
    <dxf>
      <border diagonalUp="0" diagonalDown="0">
        <left/>
        <right/>
        <top style="dotted">
          <color auto="1"/>
        </top>
        <bottom style="dotted">
          <color auto="1"/>
        </bottom>
        <vertical/>
        <horizontal/>
      </border>
    </dxf>
    <dxf>
      <border diagonalUp="0" diagonalDown="0">
        <left/>
        <right/>
        <top style="dotted">
          <color auto="1"/>
        </top>
        <bottom style="dotted">
          <color auto="1"/>
        </bottom>
        <vertical/>
        <horizontal/>
      </border>
    </dxf>
    <dxf>
      <border diagonalUp="0" diagonalDown="0">
        <left/>
        <right/>
        <top style="dotted">
          <color auto="1"/>
        </top>
        <bottom style="dotted">
          <color auto="1"/>
        </bottom>
        <vertical/>
        <horizontal/>
      </border>
    </dxf>
    <dxf>
      <border diagonalUp="0" diagonalDown="0">
        <left/>
        <right/>
        <top style="dotted">
          <color auto="1"/>
        </top>
        <bottom style="dotted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dotted">
          <color auto="1"/>
        </top>
        <bottom style="dotted">
          <color auto="1"/>
        </bottom>
        <vertical/>
        <horizontal/>
      </border>
    </dxf>
    <dxf>
      <border outline="0"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3"/>
        <charset val="128"/>
        <scheme val="minor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川島肇" refreshedDate="44603.68918645833" createdVersion="7" refreshedVersion="7" minRefreshableVersion="3" recordCount="78" xr:uid="{13CEAC2B-B9E2-4BDE-B78B-F904E850B195}">
  <cacheSource type="worksheet">
    <worksheetSource ref="B5:I83" sheet="Case4.4"/>
  </cacheSource>
  <cacheFields count="8">
    <cacheField name="日期" numFmtId="179">
      <sharedItems containsSemiMixedTypes="0" containsNonDate="0" containsDate="1" containsString="0" minDate="2021-12-01T00:00:00" maxDate="2022-01-01T00:00:00"/>
    </cacheField>
    <cacheField name="交易明细" numFmtId="0">
      <sharedItems containsBlank="1"/>
    </cacheField>
    <cacheField name="支出" numFmtId="176">
      <sharedItems containsString="0" containsBlank="1" containsNumber="1" containsInteger="1" minValue="0" maxValue="800000"/>
    </cacheField>
    <cacheField name="存入" numFmtId="176">
      <sharedItems containsString="0" containsBlank="1" containsNumber="1" containsInteger="1" minValue="0" maxValue="680000"/>
    </cacheField>
    <cacheField name="结余" numFmtId="176">
      <sharedItems containsSemiMixedTypes="0" containsString="0" containsNumber="1" containsInteger="1" minValue="15320" maxValue="864080"/>
    </cacheField>
    <cacheField name="科目" numFmtId="0">
      <sharedItems containsBlank="1" count="14">
        <m/>
        <s v="3-021"/>
        <s v="3-034"/>
        <s v="3-041"/>
        <s v="2-100"/>
        <s v="3-061"/>
        <s v="3-035"/>
        <s v="3-031"/>
        <s v="3-032"/>
        <s v="1-100"/>
        <s v="3-051"/>
        <s v="3-022"/>
        <s v="3-042"/>
        <s v="3-010"/>
      </sharedItems>
    </cacheField>
    <cacheField name="科目名称" numFmtId="0">
      <sharedItems containsBlank="1" count="14">
        <m/>
        <s v="国内送料、クーリエ、倉庫代"/>
        <s v="備品、消耗工具"/>
        <s v="交通費、出張費"/>
        <s v="売掛金回収"/>
        <s v="銀行手数料等"/>
        <s v="品質検査、測定費用"/>
        <s v="事務所家賃"/>
        <s v="通信費"/>
        <s v="PO支払"/>
        <s v="支払手数料"/>
        <s v="海上運賃、航空運賃"/>
        <s v="接待交際費"/>
        <s v="人件費"/>
      </sharedItems>
    </cacheField>
    <cacheField name="客户，供应商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d v="2021-12-01T00:00:00"/>
    <m/>
    <m/>
    <m/>
    <n v="250000"/>
    <x v="0"/>
    <x v="0"/>
    <m/>
  </r>
  <r>
    <d v="2021-12-01T00:00:00"/>
    <s v="支票付款 001501"/>
    <n v="6000"/>
    <n v="0"/>
    <n v="244000"/>
    <x v="1"/>
    <x v="1"/>
    <s v="顺丰"/>
  </r>
  <r>
    <d v="2021-12-01T00:00:00"/>
    <s v="支票付款 001502"/>
    <n v="1200"/>
    <n v="0"/>
    <n v="242800"/>
    <x v="2"/>
    <x v="2"/>
    <s v="RICOH,墨盒,复印纸"/>
  </r>
  <r>
    <d v="2021-12-01T00:00:00"/>
    <s v="支票付款 001503"/>
    <n v="2100"/>
    <n v="0"/>
    <n v="240700"/>
    <x v="3"/>
    <x v="3"/>
    <s v="携程"/>
  </r>
  <r>
    <d v="2021-12-01T00:00:00"/>
    <s v="YOSHIMOTO CORP. USD 50,000 at RMB6.40"/>
    <n v="0"/>
    <n v="320000"/>
    <n v="560700"/>
    <x v="4"/>
    <x v="4"/>
    <s v="YOSHIMOTO CORP"/>
  </r>
  <r>
    <d v="2021-12-01T00:00:00"/>
    <s v="CHGS YOSHIMOTO CORP"/>
    <n v="105"/>
    <n v="0"/>
    <n v="560595"/>
    <x v="5"/>
    <x v="5"/>
    <s v=" "/>
  </r>
  <r>
    <d v="2021-12-01T00:00:00"/>
    <s v="UEDA SHOJI CO., LTD. USD 700 at HKD6.40"/>
    <n v="0"/>
    <n v="4480"/>
    <n v="565075"/>
    <x v="4"/>
    <x v="4"/>
    <s v="UEDA SHOJI"/>
  </r>
  <r>
    <d v="2021-12-01T00:00:00"/>
    <s v="CHGS UEDA SHOJI "/>
    <n v="105"/>
    <n v="0"/>
    <n v="564970"/>
    <x v="5"/>
    <x v="5"/>
    <m/>
  </r>
  <r>
    <d v="2021-12-01T00:00:00"/>
    <s v="同兴进出口"/>
    <n v="25000"/>
    <n v="0"/>
    <n v="539970"/>
    <x v="1"/>
    <x v="1"/>
    <s v="同兴进出口"/>
  </r>
  <r>
    <d v="2021-12-01T00:00:00"/>
    <s v="深圳検品中心"/>
    <n v="12000"/>
    <n v="0"/>
    <n v="527970"/>
    <x v="6"/>
    <x v="6"/>
    <s v="深圳検品中心"/>
  </r>
  <r>
    <d v="2021-12-03T00:00:00"/>
    <s v="支票付款 001504"/>
    <n v="5000"/>
    <n v="0"/>
    <n v="522970"/>
    <x v="7"/>
    <x v="7"/>
    <s v="中原地产房租"/>
  </r>
  <r>
    <d v="2021-12-03T00:00:00"/>
    <s v="支票付款 001505"/>
    <n v="1500"/>
    <m/>
    <n v="521470"/>
    <x v="8"/>
    <x v="8"/>
    <s v="中国移动"/>
  </r>
  <r>
    <d v="2021-12-03T00:00:00"/>
    <s v="彩幻紙品有限会社"/>
    <n v="300000"/>
    <n v="0"/>
    <n v="221470"/>
    <x v="9"/>
    <x v="9"/>
    <s v="彩幻紙品有限会社"/>
  </r>
  <r>
    <d v="2021-12-06T00:00:00"/>
    <s v="支票付款 001506"/>
    <n v="6000"/>
    <n v="0"/>
    <n v="215470"/>
    <x v="1"/>
    <x v="1"/>
    <s v="顺丰"/>
  </r>
  <r>
    <d v="2021-12-06T00:00:00"/>
    <s v="支票付款 001507"/>
    <n v="12000"/>
    <n v="0"/>
    <n v="203470"/>
    <x v="10"/>
    <x v="10"/>
    <s v="德勤会计师事务所"/>
  </r>
  <r>
    <d v="2021-12-06T00:00:00"/>
    <s v="YOKOHAMA TRADING USD 12,000 at RMB6.40"/>
    <n v="0"/>
    <n v="76800"/>
    <n v="280270"/>
    <x v="4"/>
    <x v="4"/>
    <s v="YOKOHAMA TRADING"/>
  </r>
  <r>
    <d v="2021-12-06T00:00:00"/>
    <s v="CHGS SK JAPAN CO.,LTD"/>
    <n v="105"/>
    <n v="0"/>
    <n v="280165"/>
    <x v="5"/>
    <x v="5"/>
    <m/>
  </r>
  <r>
    <d v="2021-12-06T00:00:00"/>
    <s v="OSAKADO CORP. USD 35000 at RMB6.40"/>
    <n v="0"/>
    <n v="224000"/>
    <n v="504165"/>
    <x v="4"/>
    <x v="4"/>
    <s v="OSAKADO"/>
  </r>
  <r>
    <d v="2021-12-06T00:00:00"/>
    <s v="CHGS OSAKADO CORP."/>
    <n v="105"/>
    <n v="0"/>
    <n v="504060"/>
    <x v="5"/>
    <x v="5"/>
    <m/>
  </r>
  <r>
    <d v="2021-12-06T00:00:00"/>
    <s v="吉富安, 検品"/>
    <n v="55000"/>
    <n v="0"/>
    <n v="449060"/>
    <x v="6"/>
    <x v="6"/>
    <s v="吉富安, 検品"/>
  </r>
  <r>
    <d v="2021-12-06T00:00:00"/>
    <s v="彼艾斯国际物流"/>
    <n v="43000"/>
    <n v="0"/>
    <n v="406060"/>
    <x v="11"/>
    <x v="11"/>
    <s v="彼艾斯国际物流"/>
  </r>
  <r>
    <d v="2021-12-09T00:00:00"/>
    <s v="东莞塑料制品有限公司"/>
    <n v="160000"/>
    <n v="0"/>
    <n v="246060"/>
    <x v="9"/>
    <x v="9"/>
    <s v="东莞塑料制品有限公司"/>
  </r>
  <r>
    <d v="2021-12-10T00:00:00"/>
    <s v="支票付款 001508"/>
    <n v="8000"/>
    <n v="0"/>
    <n v="238060"/>
    <x v="1"/>
    <x v="1"/>
    <s v="顺丰"/>
  </r>
  <r>
    <d v="2021-12-10T00:00:00"/>
    <s v="支票付款 001509"/>
    <n v="30000"/>
    <n v="0"/>
    <n v="208060"/>
    <x v="12"/>
    <x v="12"/>
    <s v="MASTER CARD(万事达卡)"/>
  </r>
  <r>
    <d v="2021-12-14T00:00:00"/>
    <s v="日新国际物流(上海)"/>
    <n v="13000"/>
    <n v="0"/>
    <n v="195060"/>
    <x v="11"/>
    <x v="11"/>
    <s v="日新国际物流(上海)"/>
  </r>
  <r>
    <d v="2021-12-14T00:00:00"/>
    <s v="广州金属科技有限会社"/>
    <n v="92000"/>
    <n v="0"/>
    <n v="103060"/>
    <x v="9"/>
    <x v="9"/>
    <s v="广州金属科技"/>
  </r>
  <r>
    <d v="2021-12-14T00:00:00"/>
    <s v="OSAKADO CORP. USD 52000 at RMB6.40"/>
    <n v="0"/>
    <n v="332800"/>
    <n v="435860"/>
    <x v="4"/>
    <x v="4"/>
    <s v="OSAKADO"/>
  </r>
  <r>
    <d v="2021-12-14T00:00:00"/>
    <s v="CHGS OSAKADO CORP."/>
    <n v="105"/>
    <n v="0"/>
    <n v="435755"/>
    <x v="5"/>
    <x v="5"/>
    <m/>
  </r>
  <r>
    <d v="2021-12-14T00:00:00"/>
    <s v="UEDA SHOJI USD 4000 at RMB6.40"/>
    <n v="0"/>
    <n v="25600"/>
    <n v="461355"/>
    <x v="4"/>
    <x v="4"/>
    <s v="UEDA SHOJI"/>
  </r>
  <r>
    <d v="2021-12-14T00:00:00"/>
    <s v="CHGS KOOHA CREATE CO."/>
    <n v="105"/>
    <n v="0"/>
    <n v="461250"/>
    <x v="5"/>
    <x v="5"/>
    <m/>
  </r>
  <r>
    <d v="2021-12-15T00:00:00"/>
    <s v="支票付款 001510"/>
    <n v="28650"/>
    <n v="0"/>
    <n v="432600"/>
    <x v="1"/>
    <x v="1"/>
    <s v="同兴进出口"/>
  </r>
  <r>
    <d v="2021-12-15T00:00:00"/>
    <s v="支票付款 001511"/>
    <n v="650"/>
    <n v="0"/>
    <n v="431950"/>
    <x v="1"/>
    <x v="1"/>
    <s v="顺丰"/>
  </r>
  <r>
    <d v="2021-12-15T00:00:00"/>
    <s v="支票付款 001512"/>
    <n v="23000"/>
    <n v="0"/>
    <n v="408950"/>
    <x v="11"/>
    <x v="11"/>
    <s v="NEC Logistics HK Limited"/>
  </r>
  <r>
    <d v="2021-12-15T00:00:00"/>
    <s v="支票付款 001513"/>
    <n v="5300"/>
    <n v="0"/>
    <n v="403650"/>
    <x v="11"/>
    <x v="11"/>
    <s v="彼艾斯国际物流"/>
  </r>
  <r>
    <d v="2021-12-15T00:00:00"/>
    <s v="MATSUMOTO CO LTD USD 37000 at RMB6.40"/>
    <n v="0"/>
    <n v="236800"/>
    <n v="640450"/>
    <x v="4"/>
    <x v="4"/>
    <s v="MATSUMOTO"/>
  </r>
  <r>
    <d v="2021-12-15T00:00:00"/>
    <s v="CHGS MATSUMOTO CO LTD "/>
    <n v="105"/>
    <n v="0"/>
    <n v="640345"/>
    <x v="5"/>
    <x v="5"/>
    <m/>
  </r>
  <r>
    <d v="2021-12-15T00:00:00"/>
    <s v="东莞塑料制品有限公司"/>
    <n v="55000"/>
    <n v="0"/>
    <n v="585345"/>
    <x v="9"/>
    <x v="9"/>
    <s v="东莞塑料制品有限公司"/>
  </r>
  <r>
    <d v="2021-12-15T00:00:00"/>
    <s v="精密五金制品有限公司"/>
    <n v="114000"/>
    <n v="0"/>
    <n v="471345"/>
    <x v="9"/>
    <x v="9"/>
    <s v="精密五金制品有限公司"/>
  </r>
  <r>
    <d v="2021-12-15T00:00:00"/>
    <s v="志成, 手数料"/>
    <n v="14815"/>
    <n v="0"/>
    <n v="456530"/>
    <x v="10"/>
    <x v="10"/>
    <s v="志成, 手数料"/>
  </r>
  <r>
    <d v="2021-12-15T00:00:00"/>
    <s v="ITS,　IT保守"/>
    <n v="12000"/>
    <n v="0"/>
    <n v="444530"/>
    <x v="10"/>
    <x v="10"/>
    <s v="计算机技术有限公司,　IT保守"/>
  </r>
  <r>
    <d v="2021-12-16T00:00:00"/>
    <s v="支票付款 001675 "/>
    <n v="4500"/>
    <n v="0"/>
    <n v="440030"/>
    <x v="1"/>
    <x v="1"/>
    <s v="顺丰"/>
  </r>
  <r>
    <d v="2021-12-16T00:00:00"/>
    <s v="OSAKADO CORP. USD 30000 at RMB6.40"/>
    <n v="0"/>
    <n v="192000"/>
    <n v="632030"/>
    <x v="4"/>
    <x v="4"/>
    <s v="OSAKADO"/>
  </r>
  <r>
    <d v="2021-12-16T00:00:00"/>
    <s v="CHGSOSAKADO CORP. "/>
    <n v="105"/>
    <n v="0"/>
    <n v="631925"/>
    <x v="5"/>
    <x v="5"/>
    <m/>
  </r>
  <r>
    <d v="2021-12-16T00:00:00"/>
    <s v="彼艾斯国际物流"/>
    <n v="30000"/>
    <n v="0"/>
    <n v="601925"/>
    <x v="11"/>
    <x v="11"/>
    <s v="彼艾斯国际物流"/>
  </r>
  <r>
    <d v="2021-12-20T00:00:00"/>
    <s v="日新国际物流(上海)"/>
    <n v="7000"/>
    <n v="0"/>
    <n v="594925"/>
    <x v="11"/>
    <x v="11"/>
    <s v="日新国际物流(上海)"/>
  </r>
  <r>
    <d v="2021-12-20T00:00:00"/>
    <s v="支票付款 001703"/>
    <n v="12000"/>
    <n v="0"/>
    <n v="582925"/>
    <x v="1"/>
    <x v="1"/>
    <s v="顺丰"/>
  </r>
  <r>
    <d v="2021-12-20T00:00:00"/>
    <s v="支票付款 001701"/>
    <n v="3500"/>
    <n v="0"/>
    <n v="579425"/>
    <x v="1"/>
    <x v="1"/>
    <s v="DHL"/>
  </r>
  <r>
    <d v="2021-12-20T00:00:00"/>
    <s v="广州金属科技"/>
    <n v="300000"/>
    <n v="0"/>
    <n v="279425"/>
    <x v="9"/>
    <x v="9"/>
    <s v="广州金属科技"/>
  </r>
  <r>
    <d v="2021-12-21T00:00:00"/>
    <s v="UEDA SHOJI CO., LTD. USD 2500 at RMB6.40"/>
    <n v="0"/>
    <n v="16000"/>
    <n v="295425"/>
    <x v="4"/>
    <x v="4"/>
    <s v="UEDA SHOJI"/>
  </r>
  <r>
    <d v="2021-12-21T00:00:00"/>
    <s v="CHGS SHOJI CO "/>
    <n v="105"/>
    <n v="0"/>
    <n v="295320"/>
    <x v="5"/>
    <x v="5"/>
    <m/>
  </r>
  <r>
    <d v="2021-12-21T00:00:00"/>
    <s v="东莞塑料制品有限公司"/>
    <n v="250000"/>
    <n v="0"/>
    <n v="45320"/>
    <x v="9"/>
    <x v="9"/>
    <s v="东莞塑料制品有限公司"/>
  </r>
  <r>
    <d v="2021-12-21T00:00:00"/>
    <s v="宏桥国际货运"/>
    <n v="30000"/>
    <n v="0"/>
    <n v="15320"/>
    <x v="11"/>
    <x v="11"/>
    <s v="宏桥国际货运"/>
  </r>
  <r>
    <d v="2021-12-22T00:00:00"/>
    <s v="MATSUMOTO CO LTD USD 45000 at RMB6.40"/>
    <n v="0"/>
    <n v="288000"/>
    <n v="303320"/>
    <x v="4"/>
    <x v="4"/>
    <s v="MATSUMOTO"/>
  </r>
  <r>
    <d v="2021-12-22T00:00:00"/>
    <s v="CHGS MATSUMOTO CO LTD "/>
    <n v="105"/>
    <n v="0"/>
    <n v="303215"/>
    <x v="5"/>
    <x v="5"/>
    <m/>
  </r>
  <r>
    <d v="2021-12-23T00:00:00"/>
    <s v="支票付款 001667"/>
    <n v="24000"/>
    <n v="0"/>
    <n v="279215"/>
    <x v="1"/>
    <x v="1"/>
    <s v="顺丰"/>
  </r>
  <r>
    <d v="2021-12-23T00:00:00"/>
    <s v="支票付款 001680"/>
    <n v="1200"/>
    <n v="0"/>
    <n v="278015"/>
    <x v="8"/>
    <x v="8"/>
    <s v="中国移动"/>
  </r>
  <r>
    <d v="2021-12-23T00:00:00"/>
    <s v="宏桥国际货运"/>
    <n v="23000"/>
    <n v="0"/>
    <n v="255015"/>
    <x v="11"/>
    <x v="11"/>
    <s v="宏桥国际货运"/>
  </r>
  <r>
    <d v="2021-12-28T00:00:00"/>
    <s v="日新国际物流(上海)"/>
    <n v="11000"/>
    <n v="0"/>
    <n v="244015"/>
    <x v="11"/>
    <x v="11"/>
    <s v="日新国际物流(上海)"/>
  </r>
  <r>
    <d v="2021-12-28T00:00:00"/>
    <s v="支票付款 001707"/>
    <n v="735"/>
    <n v="0"/>
    <n v="243280"/>
    <x v="2"/>
    <x v="2"/>
    <s v="RICOH,墨盒,复印纸"/>
  </r>
  <r>
    <d v="2021-12-28T00:00:00"/>
    <s v="OSAKADO CORP. USD 97000 at RMB6.40"/>
    <n v="0"/>
    <n v="620800"/>
    <n v="864080"/>
    <x v="4"/>
    <x v="4"/>
    <s v="OSAKADO"/>
  </r>
  <r>
    <d v="2021-12-28T00:00:00"/>
    <s v="CHGS OSAKADO CORP."/>
    <n v="105"/>
    <n v="0"/>
    <n v="863975"/>
    <x v="5"/>
    <x v="5"/>
    <m/>
  </r>
  <r>
    <d v="2021-12-28T00:00:00"/>
    <s v="东莞塑料制品有限公司"/>
    <n v="700000"/>
    <n v="0"/>
    <n v="163975"/>
    <x v="9"/>
    <x v="9"/>
    <s v="东莞塑料制品有限公司"/>
  </r>
  <r>
    <d v="2021-12-29T00:00:00"/>
    <s v="7772290907778RKCO020 CXBSNS"/>
    <n v="3600"/>
    <n v="0"/>
    <n v="160375"/>
    <x v="11"/>
    <x v="11"/>
    <s v="日新国际物流(上海)"/>
  </r>
  <r>
    <d v="2021-12-29T00:00:00"/>
    <s v="7772291017216RKCO674 CXBSNS"/>
    <n v="5900"/>
    <n v="0"/>
    <n v="154475"/>
    <x v="1"/>
    <x v="1"/>
    <s v="同兴进出口"/>
  </r>
  <r>
    <d v="2021-12-29T00:00:00"/>
    <s v="广州金属科技"/>
    <n v="14000"/>
    <n v="0"/>
    <n v="140475"/>
    <x v="9"/>
    <x v="9"/>
    <s v="广州金属科技"/>
  </r>
  <r>
    <d v="2021-12-30T00:00:00"/>
    <s v="同兴进出口"/>
    <n v="52000"/>
    <n v="0"/>
    <n v="88475"/>
    <x v="1"/>
    <x v="1"/>
    <s v="同兴进出口"/>
  </r>
  <r>
    <d v="2021-12-31T00:00:00"/>
    <s v="YOSHIMOTO CORP. USD 106250 at RMB6.40"/>
    <n v="0"/>
    <n v="680000"/>
    <n v="768475"/>
    <x v="4"/>
    <x v="4"/>
    <s v="YOSHIMOTO CORP"/>
  </r>
  <r>
    <d v="2021-12-31T00:00:00"/>
    <s v="CHGS YOSHIMOTO CORPORA "/>
    <n v="105"/>
    <n v="0"/>
    <n v="768370"/>
    <x v="5"/>
    <x v="5"/>
    <m/>
  </r>
  <r>
    <d v="2021-12-31T00:00:00"/>
    <s v="MR.KAMAKURA A/C"/>
    <n v="30000"/>
    <n v="0"/>
    <n v="738370"/>
    <x v="13"/>
    <x v="13"/>
    <s v="MR.KAMAKURA"/>
  </r>
  <r>
    <d v="2021-12-31T00:00:00"/>
    <s v="MR.SHIBUYA A/C"/>
    <n v="25000"/>
    <n v="0"/>
    <n v="713370"/>
    <x v="13"/>
    <x v="13"/>
    <s v="MR.SHIBUYA"/>
  </r>
  <r>
    <d v="2021-12-31T00:00:00"/>
    <s v="支票付款 001713 "/>
    <n v="20000"/>
    <n v="0"/>
    <n v="693370"/>
    <x v="12"/>
    <x v="12"/>
    <s v="KAWASHIMA CASH"/>
  </r>
  <r>
    <d v="2021-12-31T00:00:00"/>
    <s v="支票付款 001713 "/>
    <n v="20000"/>
    <n v="0"/>
    <n v="673370"/>
    <x v="2"/>
    <x v="2"/>
    <s v="计算机技术有限公司,　PC"/>
  </r>
  <r>
    <d v="2021-12-31T00:00:00"/>
    <s v="支票付款 001713 "/>
    <n v="5000"/>
    <n v="0"/>
    <n v="668370"/>
    <x v="3"/>
    <x v="3"/>
    <s v="东方航空"/>
  </r>
  <r>
    <d v="2021-12-31T00:00:00"/>
    <s v="UEDA SHOJI CO., LTD. USD 30000 at RMB6.40"/>
    <n v="0"/>
    <n v="192000"/>
    <n v="860370"/>
    <x v="4"/>
    <x v="4"/>
    <s v="UEDA SHOJI"/>
  </r>
  <r>
    <d v="2021-12-31T00:00:00"/>
    <s v="CHGS UEDA SHOJI CO "/>
    <n v="105"/>
    <n v="0"/>
    <n v="860265"/>
    <x v="5"/>
    <x v="5"/>
    <m/>
  </r>
  <r>
    <d v="2021-12-31T00:00:00"/>
    <s v="东莞塑料制品有限公司"/>
    <n v="800000"/>
    <n v="0"/>
    <n v="60265"/>
    <x v="9"/>
    <x v="9"/>
    <s v="东莞塑料制品有限公司"/>
  </r>
  <r>
    <d v="2021-12-31T00:00:00"/>
    <s v="OSAKADO CORP. USD 28125 at RMB6.40"/>
    <n v="0"/>
    <n v="180000"/>
    <n v="240265"/>
    <x v="4"/>
    <x v="4"/>
    <s v="OSAKADO"/>
  </r>
  <r>
    <d v="2021-12-31T00:00:00"/>
    <s v="CHGS TRADE SERVICES"/>
    <n v="265"/>
    <n v="0"/>
    <n v="240000"/>
    <x v="5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9A8676-06E3-474C-8CB4-6DAA1E064599}" name="ピボットテーブル1" cacheId="0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compact="0" compactData="0" multipleFieldFilters="0">
  <location ref="B3:E18" firstHeaderRow="0" firstDataRow="1" firstDataCol="2"/>
  <pivotFields count="8">
    <pivotField compact="0" numFmtId="179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numFmtId="176" outline="0" showAll="0" defaultSubtotal="0"/>
    <pivotField axis="axisRow" compact="0" outline="0" showAll="0" defaultSubtotal="0">
      <items count="14">
        <item x="13"/>
        <item x="1"/>
        <item x="11"/>
        <item x="7"/>
        <item x="8"/>
        <item x="2"/>
        <item x="6"/>
        <item x="3"/>
        <item x="12"/>
        <item x="10"/>
        <item x="5"/>
        <item x="9"/>
        <item x="4"/>
        <item x="0"/>
      </items>
    </pivotField>
    <pivotField axis="axisRow" compact="0" outline="0" showAll="0" defaultSubtotal="0">
      <items count="14">
        <item x="9"/>
        <item x="11"/>
        <item x="5"/>
        <item x="3"/>
        <item x="1"/>
        <item x="10"/>
        <item x="7"/>
        <item x="13"/>
        <item x="12"/>
        <item x="8"/>
        <item x="4"/>
        <item x="2"/>
        <item x="6"/>
        <item x="0"/>
      </items>
    </pivotField>
    <pivotField compact="0" outline="0" showAll="0" defaultSubtotal="0"/>
  </pivotFields>
  <rowFields count="2">
    <field x="5"/>
    <field x="6"/>
  </rowFields>
  <rowItems count="15">
    <i>
      <x/>
      <x v="7"/>
    </i>
    <i>
      <x v="1"/>
      <x v="4"/>
    </i>
    <i>
      <x v="2"/>
      <x v="1"/>
    </i>
    <i>
      <x v="3"/>
      <x v="6"/>
    </i>
    <i>
      <x v="4"/>
      <x v="9"/>
    </i>
    <i>
      <x v="5"/>
      <x v="11"/>
    </i>
    <i>
      <x v="6"/>
      <x v="12"/>
    </i>
    <i>
      <x v="7"/>
      <x v="3"/>
    </i>
    <i>
      <x v="8"/>
      <x v="8"/>
    </i>
    <i>
      <x v="9"/>
      <x v="5"/>
    </i>
    <i>
      <x v="10"/>
      <x v="2"/>
    </i>
    <i>
      <x v="11"/>
      <x/>
    </i>
    <i>
      <x v="12"/>
      <x v="10"/>
    </i>
    <i>
      <x v="13"/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借方" fld="2" baseField="5" baseItem="1" numFmtId="180"/>
    <dataField name="貸方" fld="3" baseField="5" baseItem="2" numFmtId="180"/>
  </dataFields>
  <formats count="21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5" type="button" dataOnly="0" labelOnly="1" outline="0" axis="axisRow" fieldPosition="0"/>
    </format>
    <format dxfId="17">
      <pivotArea field="6" type="button" dataOnly="0" labelOnly="1" outline="0" axis="axisRow" fieldPosition="1"/>
    </format>
    <format dxfId="16">
      <pivotArea dataOnly="0" labelOnly="1" outline="0" fieldPosition="0">
        <references count="1">
          <reference field="5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2">
          <reference field="5" count="1" selected="0">
            <x v="0"/>
          </reference>
          <reference field="6" count="1">
            <x v="7"/>
          </reference>
        </references>
      </pivotArea>
    </format>
    <format dxfId="13">
      <pivotArea dataOnly="0" labelOnly="1" outline="0" fieldPosition="0">
        <references count="2">
          <reference field="5" count="1" selected="0">
            <x v="1"/>
          </reference>
          <reference field="6" count="1">
            <x v="4"/>
          </reference>
        </references>
      </pivotArea>
    </format>
    <format dxfId="12">
      <pivotArea dataOnly="0" labelOnly="1" outline="0" fieldPosition="0">
        <references count="2">
          <reference field="5" count="1" selected="0">
            <x v="2"/>
          </reference>
          <reference field="6" count="1">
            <x v="1"/>
          </reference>
        </references>
      </pivotArea>
    </format>
    <format dxfId="11">
      <pivotArea dataOnly="0" labelOnly="1" outline="0" fieldPosition="0">
        <references count="2">
          <reference field="5" count="1" selected="0">
            <x v="3"/>
          </reference>
          <reference field="6" count="1">
            <x v="6"/>
          </reference>
        </references>
      </pivotArea>
    </format>
    <format dxfId="10">
      <pivotArea dataOnly="0" labelOnly="1" outline="0" fieldPosition="0">
        <references count="2">
          <reference field="5" count="1" selected="0">
            <x v="4"/>
          </reference>
          <reference field="6" count="1">
            <x v="9"/>
          </reference>
        </references>
      </pivotArea>
    </format>
    <format dxfId="9">
      <pivotArea dataOnly="0" labelOnly="1" outline="0" fieldPosition="0">
        <references count="2">
          <reference field="5" count="1" selected="0">
            <x v="5"/>
          </reference>
          <reference field="6" count="1">
            <x v="11"/>
          </reference>
        </references>
      </pivotArea>
    </format>
    <format dxfId="8">
      <pivotArea dataOnly="0" labelOnly="1" outline="0" fieldPosition="0">
        <references count="2">
          <reference field="5" count="1" selected="0">
            <x v="6"/>
          </reference>
          <reference field="6" count="1">
            <x v="12"/>
          </reference>
        </references>
      </pivotArea>
    </format>
    <format dxfId="7">
      <pivotArea dataOnly="0" labelOnly="1" outline="0" fieldPosition="0">
        <references count="2">
          <reference field="5" count="1" selected="0">
            <x v="7"/>
          </reference>
          <reference field="6" count="1">
            <x v="3"/>
          </reference>
        </references>
      </pivotArea>
    </format>
    <format dxfId="6">
      <pivotArea dataOnly="0" labelOnly="1" outline="0" fieldPosition="0">
        <references count="2">
          <reference field="5" count="1" selected="0">
            <x v="8"/>
          </reference>
          <reference field="6" count="1">
            <x v="8"/>
          </reference>
        </references>
      </pivotArea>
    </format>
    <format dxfId="5">
      <pivotArea dataOnly="0" labelOnly="1" outline="0" fieldPosition="0">
        <references count="2">
          <reference field="5" count="1" selected="0">
            <x v="9"/>
          </reference>
          <reference field="6" count="1">
            <x v="5"/>
          </reference>
        </references>
      </pivotArea>
    </format>
    <format dxfId="4">
      <pivotArea dataOnly="0" labelOnly="1" outline="0" fieldPosition="0">
        <references count="2">
          <reference field="5" count="1" selected="0">
            <x v="10"/>
          </reference>
          <reference field="6" count="1">
            <x v="2"/>
          </reference>
        </references>
      </pivotArea>
    </format>
    <format dxfId="3">
      <pivotArea dataOnly="0" labelOnly="1" outline="0" fieldPosition="0">
        <references count="2">
          <reference field="5" count="1" selected="0">
            <x v="11"/>
          </reference>
          <reference field="6" count="1">
            <x v="0"/>
          </reference>
        </references>
      </pivotArea>
    </format>
    <format dxfId="2">
      <pivotArea dataOnly="0" labelOnly="1" outline="0" fieldPosition="0">
        <references count="2">
          <reference field="5" count="1" selected="0">
            <x v="12"/>
          </reference>
          <reference field="6" count="1">
            <x v="10"/>
          </reference>
        </references>
      </pivotArea>
    </format>
    <format dxfId="1">
      <pivotArea dataOnly="0" labelOnly="1" outline="0" fieldPosition="0">
        <references count="2">
          <reference field="5" count="1" selected="0">
            <x v="13"/>
          </reference>
          <reference field="6" count="1">
            <x v="13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763246-6914-410C-B1F9-149CFD7AA78E}" name="発注テーブル" displayName="発注テーブル" ref="H8:M15" totalsRowShown="0" headerRowDxfId="29" headerRowBorderDxfId="28" tableBorderDxfId="27">
  <autoFilter ref="H8:M15" xr:uid="{2E763246-6914-410C-B1F9-149CFD7AA78E}"/>
  <tableColumns count="6">
    <tableColumn id="1" xr3:uid="{7C608A3A-E1DE-48AF-822A-CEEBCDBF001B}" name="発注No." dataDxfId="26"/>
    <tableColumn id="2" xr3:uid="{20F88E5E-1928-4645-A9F4-6A9482716CE8}" name="品名" dataDxfId="25"/>
    <tableColumn id="3" xr3:uid="{6AFCDF68-E22B-42C0-9F3A-A521B87F1311}" name="内容量" dataDxfId="24">
      <calculatedColumnFormula>IFERROR(VLOOKUP(I9,$D$6:$F$21,2,FALSE),"")</calculatedColumnFormula>
    </tableColumn>
    <tableColumn id="4" xr3:uid="{F2D13E8C-1E42-496D-9069-99018CB8061E}" name="単価" dataDxfId="23">
      <calculatedColumnFormula>IFERROR(VLOOKUP(I9,$D$6:$F$21,3,FALSE),"")</calculatedColumnFormula>
    </tableColumn>
    <tableColumn id="5" xr3:uid="{B963BB88-972F-4CC4-87D0-5369CE52CE14}" name="個数" dataDxfId="22"/>
    <tableColumn id="6" xr3:uid="{C491DBE1-EB65-49E5-A713-889B11A2203D}" name="金額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E340B-30B8-4CDA-B01A-73D0924D687F}">
  <dimension ref="B1:M21"/>
  <sheetViews>
    <sheetView workbookViewId="0"/>
  </sheetViews>
  <sheetFormatPr defaultRowHeight="18"/>
  <cols>
    <col min="1" max="1" width="2.4140625" customWidth="1"/>
    <col min="2" max="2" width="7.6640625" customWidth="1"/>
    <col min="3" max="3" width="10.4140625" bestFit="1" customWidth="1"/>
    <col min="4" max="4" width="16.25" bestFit="1" customWidth="1"/>
    <col min="7" max="7" width="4.1640625" customWidth="1"/>
    <col min="8" max="8" width="9.25" customWidth="1"/>
    <col min="9" max="9" width="13.5" customWidth="1"/>
    <col min="10" max="10" width="8.08203125" customWidth="1"/>
    <col min="11" max="13" width="6.25" customWidth="1"/>
  </cols>
  <sheetData>
    <row r="1" spans="2:13">
      <c r="B1" s="61" t="s">
        <v>176</v>
      </c>
    </row>
    <row r="2" spans="2:13">
      <c r="B2" t="s">
        <v>177</v>
      </c>
    </row>
    <row r="3" spans="2:13">
      <c r="B3" t="s">
        <v>178</v>
      </c>
    </row>
    <row r="5" spans="2:13" ht="18.5" thickBot="1">
      <c r="B5" s="61" t="s">
        <v>179</v>
      </c>
      <c r="H5" s="61" t="s">
        <v>180</v>
      </c>
    </row>
    <row r="6" spans="2:13" ht="18.5" thickBot="1">
      <c r="B6" s="62" t="s">
        <v>181</v>
      </c>
      <c r="C6" s="62" t="s">
        <v>182</v>
      </c>
      <c r="D6" s="62" t="s">
        <v>183</v>
      </c>
      <c r="E6" s="62" t="s">
        <v>184</v>
      </c>
      <c r="F6" s="62" t="s">
        <v>185</v>
      </c>
      <c r="H6" s="63" t="s">
        <v>186</v>
      </c>
      <c r="I6" s="64">
        <f>SUM(発注テーブル[金額])</f>
        <v>710</v>
      </c>
    </row>
    <row r="7" spans="2:13">
      <c r="B7" s="65">
        <v>1</v>
      </c>
      <c r="C7" s="65" t="s">
        <v>187</v>
      </c>
      <c r="D7" s="65" t="s">
        <v>188</v>
      </c>
      <c r="E7" s="65" t="s">
        <v>189</v>
      </c>
      <c r="F7" s="66">
        <v>100</v>
      </c>
    </row>
    <row r="8" spans="2:13" ht="18.5" thickBot="1">
      <c r="B8" s="67">
        <v>2</v>
      </c>
      <c r="C8" s="67" t="s">
        <v>187</v>
      </c>
      <c r="D8" s="67" t="s">
        <v>190</v>
      </c>
      <c r="E8" s="67" t="s">
        <v>189</v>
      </c>
      <c r="F8" s="68">
        <v>120</v>
      </c>
      <c r="H8" s="69" t="s">
        <v>191</v>
      </c>
      <c r="I8" s="69" t="s">
        <v>183</v>
      </c>
      <c r="J8" s="69" t="s">
        <v>184</v>
      </c>
      <c r="K8" s="69" t="s">
        <v>192</v>
      </c>
      <c r="L8" s="69" t="s">
        <v>193</v>
      </c>
      <c r="M8" s="69" t="s">
        <v>185</v>
      </c>
    </row>
    <row r="9" spans="2:13">
      <c r="B9" s="67">
        <v>3</v>
      </c>
      <c r="C9" s="67" t="s">
        <v>187</v>
      </c>
      <c r="D9" s="67" t="s">
        <v>194</v>
      </c>
      <c r="E9" s="67" t="s">
        <v>189</v>
      </c>
      <c r="F9" s="68">
        <v>140</v>
      </c>
      <c r="H9" s="70">
        <v>1</v>
      </c>
      <c r="I9" s="71" t="s">
        <v>194</v>
      </c>
      <c r="J9" s="71" t="str">
        <f>IFERROR(VLOOKUP(I9,$D$6:$F$21,2,FALSE),"")</f>
        <v>500ML</v>
      </c>
      <c r="K9" s="71">
        <f>IFERROR(VLOOKUP(I9,$D$6:$F$21,3,FALSE),"")</f>
        <v>140</v>
      </c>
      <c r="L9" s="71">
        <v>1</v>
      </c>
      <c r="M9" s="71">
        <f>K9*L9</f>
        <v>140</v>
      </c>
    </row>
    <row r="10" spans="2:13">
      <c r="B10" s="67">
        <v>4</v>
      </c>
      <c r="C10" s="67" t="s">
        <v>187</v>
      </c>
      <c r="D10" s="67" t="s">
        <v>195</v>
      </c>
      <c r="E10" s="67" t="s">
        <v>189</v>
      </c>
      <c r="F10" s="68">
        <v>90</v>
      </c>
      <c r="H10" s="72">
        <v>2</v>
      </c>
      <c r="I10" s="73" t="s">
        <v>195</v>
      </c>
      <c r="J10" s="73" t="str">
        <f t="shared" ref="J10:J15" si="0">IFERROR(VLOOKUP(I10,$D$6:$F$21,2,FALSE),"")</f>
        <v>500ML</v>
      </c>
      <c r="K10" s="73">
        <f t="shared" ref="K10:K15" si="1">IFERROR(VLOOKUP(I10,$D$6:$F$21,3,FALSE),"")</f>
        <v>90</v>
      </c>
      <c r="L10" s="73">
        <v>2</v>
      </c>
      <c r="M10" s="73">
        <f t="shared" ref="M10:M13" si="2">K10*L10</f>
        <v>180</v>
      </c>
    </row>
    <row r="11" spans="2:13">
      <c r="B11" s="67">
        <v>5</v>
      </c>
      <c r="C11" s="67" t="s">
        <v>187</v>
      </c>
      <c r="D11" s="67" t="s">
        <v>196</v>
      </c>
      <c r="E11" s="67" t="s">
        <v>189</v>
      </c>
      <c r="F11" s="68">
        <v>80</v>
      </c>
      <c r="H11" s="72">
        <v>3</v>
      </c>
      <c r="I11" s="73" t="s">
        <v>197</v>
      </c>
      <c r="J11" s="73" t="str">
        <f t="shared" si="0"/>
        <v>500ML</v>
      </c>
      <c r="K11" s="73">
        <f t="shared" si="1"/>
        <v>100</v>
      </c>
      <c r="L11" s="73">
        <v>2</v>
      </c>
      <c r="M11" s="73">
        <f t="shared" si="2"/>
        <v>200</v>
      </c>
    </row>
    <row r="12" spans="2:13">
      <c r="B12" s="67">
        <v>6</v>
      </c>
      <c r="C12" s="67" t="s">
        <v>187</v>
      </c>
      <c r="D12" s="67" t="s">
        <v>198</v>
      </c>
      <c r="E12" s="67" t="s">
        <v>189</v>
      </c>
      <c r="F12" s="68">
        <v>150</v>
      </c>
      <c r="H12" s="72">
        <v>4</v>
      </c>
      <c r="I12" s="73" t="s">
        <v>197</v>
      </c>
      <c r="J12" s="73" t="str">
        <f t="shared" si="0"/>
        <v>500ML</v>
      </c>
      <c r="K12" s="73">
        <f t="shared" si="1"/>
        <v>100</v>
      </c>
      <c r="L12" s="73">
        <v>1</v>
      </c>
      <c r="M12" s="73">
        <f t="shared" si="2"/>
        <v>100</v>
      </c>
    </row>
    <row r="13" spans="2:13">
      <c r="B13" s="67">
        <v>7</v>
      </c>
      <c r="C13" s="67" t="s">
        <v>187</v>
      </c>
      <c r="D13" s="67" t="s">
        <v>199</v>
      </c>
      <c r="E13" s="67" t="s">
        <v>189</v>
      </c>
      <c r="F13" s="68">
        <v>150</v>
      </c>
      <c r="H13" s="72">
        <v>5</v>
      </c>
      <c r="I13" s="73" t="s">
        <v>200</v>
      </c>
      <c r="J13" s="73" t="str">
        <f t="shared" si="0"/>
        <v>500ML</v>
      </c>
      <c r="K13" s="73">
        <f t="shared" si="1"/>
        <v>90</v>
      </c>
      <c r="L13" s="73">
        <v>1</v>
      </c>
      <c r="M13" s="73">
        <f t="shared" si="2"/>
        <v>90</v>
      </c>
    </row>
    <row r="14" spans="2:13">
      <c r="B14" s="67">
        <v>8</v>
      </c>
      <c r="C14" s="67" t="s">
        <v>201</v>
      </c>
      <c r="D14" s="67" t="s">
        <v>202</v>
      </c>
      <c r="E14" s="67" t="s">
        <v>189</v>
      </c>
      <c r="F14" s="68" t="s">
        <v>203</v>
      </c>
      <c r="H14" s="72">
        <v>6</v>
      </c>
      <c r="I14" s="73"/>
      <c r="J14" s="73" t="str">
        <f t="shared" si="0"/>
        <v/>
      </c>
      <c r="K14" s="73" t="str">
        <f t="shared" si="1"/>
        <v/>
      </c>
      <c r="L14" s="73"/>
      <c r="M14" s="73"/>
    </row>
    <row r="15" spans="2:13">
      <c r="B15" s="67">
        <v>9</v>
      </c>
      <c r="C15" s="67" t="s">
        <v>201</v>
      </c>
      <c r="D15" s="67" t="s">
        <v>202</v>
      </c>
      <c r="E15" s="67" t="s">
        <v>204</v>
      </c>
      <c r="F15" s="68" t="s">
        <v>205</v>
      </c>
      <c r="H15" s="74">
        <v>7</v>
      </c>
      <c r="I15" s="75"/>
      <c r="J15" s="75" t="str">
        <f t="shared" si="0"/>
        <v/>
      </c>
      <c r="K15" s="75" t="str">
        <f t="shared" si="1"/>
        <v/>
      </c>
      <c r="L15" s="75"/>
      <c r="M15" s="75"/>
    </row>
    <row r="16" spans="2:13">
      <c r="B16" s="67">
        <v>10</v>
      </c>
      <c r="C16" s="67" t="s">
        <v>201</v>
      </c>
      <c r="D16" s="67" t="s">
        <v>206</v>
      </c>
      <c r="E16" s="67" t="s">
        <v>189</v>
      </c>
      <c r="F16" s="68" t="s">
        <v>207</v>
      </c>
    </row>
    <row r="17" spans="2:6">
      <c r="B17" s="67">
        <v>11</v>
      </c>
      <c r="C17" s="67" t="s">
        <v>201</v>
      </c>
      <c r="D17" s="67" t="s">
        <v>208</v>
      </c>
      <c r="E17" s="67" t="s">
        <v>189</v>
      </c>
      <c r="F17" s="68" t="s">
        <v>209</v>
      </c>
    </row>
    <row r="18" spans="2:6">
      <c r="B18" s="67">
        <v>12</v>
      </c>
      <c r="C18" s="67" t="s">
        <v>201</v>
      </c>
      <c r="D18" s="67" t="s">
        <v>210</v>
      </c>
      <c r="E18" s="67" t="s">
        <v>189</v>
      </c>
      <c r="F18" s="68" t="s">
        <v>211</v>
      </c>
    </row>
    <row r="19" spans="2:6">
      <c r="B19" s="67">
        <v>13</v>
      </c>
      <c r="C19" s="67" t="s">
        <v>201</v>
      </c>
      <c r="D19" s="67" t="s">
        <v>212</v>
      </c>
      <c r="E19" s="67" t="s">
        <v>189</v>
      </c>
      <c r="F19" s="68" t="s">
        <v>203</v>
      </c>
    </row>
    <row r="20" spans="2:6">
      <c r="B20" s="67">
        <v>14</v>
      </c>
      <c r="C20" s="67" t="s">
        <v>201</v>
      </c>
      <c r="D20" s="67" t="s">
        <v>213</v>
      </c>
      <c r="E20" s="67" t="s">
        <v>189</v>
      </c>
      <c r="F20" s="68" t="s">
        <v>203</v>
      </c>
    </row>
    <row r="21" spans="2:6" ht="18.5" thickBot="1">
      <c r="B21" s="76">
        <v>15</v>
      </c>
      <c r="C21" s="76" t="s">
        <v>201</v>
      </c>
      <c r="D21" s="76" t="s">
        <v>214</v>
      </c>
      <c r="E21" s="76" t="s">
        <v>189</v>
      </c>
      <c r="F21" s="77" t="s">
        <v>215</v>
      </c>
    </row>
  </sheetData>
  <phoneticPr fontId="3"/>
  <dataValidations count="1">
    <dataValidation type="list" allowBlank="1" showInputMessage="1" showErrorMessage="1" sqref="I9:I15" xr:uid="{4A7180BE-D37A-46C0-AA2D-701474937C7F}">
      <formula1>$D$7:$D$21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E7404-D482-4047-8794-063A6E3304DB}">
  <dimension ref="B1:S27"/>
  <sheetViews>
    <sheetView workbookViewId="0"/>
  </sheetViews>
  <sheetFormatPr defaultRowHeight="18"/>
  <cols>
    <col min="1" max="1" width="2.4140625" customWidth="1"/>
    <col min="2" max="2" width="7.6640625" customWidth="1"/>
    <col min="3" max="3" width="11.08203125" bestFit="1" customWidth="1"/>
    <col min="4" max="4" width="16.25" bestFit="1" customWidth="1"/>
    <col min="5" max="5" width="6.9140625" bestFit="1" customWidth="1"/>
    <col min="6" max="6" width="5.25" customWidth="1"/>
    <col min="7" max="7" width="6.5" customWidth="1"/>
    <col min="8" max="8" width="8.4140625" customWidth="1"/>
    <col min="10" max="10" width="7.6640625" customWidth="1"/>
    <col min="11" max="11" width="11.08203125" bestFit="1" customWidth="1"/>
    <col min="12" max="12" width="16.25" bestFit="1" customWidth="1"/>
    <col min="13" max="13" width="6.9140625" bestFit="1" customWidth="1"/>
    <col min="14" max="15" width="5.33203125" customWidth="1"/>
    <col min="16" max="16" width="6.5" customWidth="1"/>
    <col min="17" max="17" width="8.1640625" customWidth="1"/>
    <col min="19" max="19" width="6.83203125" bestFit="1" customWidth="1"/>
  </cols>
  <sheetData>
    <row r="1" spans="2:19">
      <c r="B1" s="61" t="s">
        <v>216</v>
      </c>
      <c r="J1" s="61"/>
    </row>
    <row r="2" spans="2:19">
      <c r="B2" t="s">
        <v>217</v>
      </c>
    </row>
    <row r="3" spans="2:19">
      <c r="B3" t="s">
        <v>218</v>
      </c>
    </row>
    <row r="5" spans="2:19" ht="18.5" thickBot="1">
      <c r="B5" s="61" t="s">
        <v>219</v>
      </c>
      <c r="D5" t="s">
        <v>220</v>
      </c>
      <c r="J5" s="61" t="s">
        <v>221</v>
      </c>
    </row>
    <row r="6" spans="2:19" ht="36.5" thickBot="1">
      <c r="B6" s="78" t="s">
        <v>222</v>
      </c>
      <c r="C6" s="78" t="s">
        <v>223</v>
      </c>
      <c r="D6" s="78" t="s">
        <v>183</v>
      </c>
      <c r="E6" s="78" t="s">
        <v>224</v>
      </c>
      <c r="F6" s="79" t="s">
        <v>225</v>
      </c>
      <c r="G6" s="80" t="s">
        <v>193</v>
      </c>
      <c r="H6" s="81" t="s">
        <v>226</v>
      </c>
      <c r="J6" s="78" t="s">
        <v>222</v>
      </c>
      <c r="K6" s="78" t="s">
        <v>223</v>
      </c>
      <c r="L6" s="78" t="s">
        <v>183</v>
      </c>
      <c r="M6" s="78" t="s">
        <v>224</v>
      </c>
      <c r="N6" s="79" t="s">
        <v>225</v>
      </c>
      <c r="O6" s="82" t="s">
        <v>227</v>
      </c>
      <c r="P6" s="80" t="s">
        <v>193</v>
      </c>
      <c r="Q6" s="81" t="s">
        <v>226</v>
      </c>
      <c r="R6" s="83" t="s">
        <v>228</v>
      </c>
      <c r="S6" s="84" t="s">
        <v>229</v>
      </c>
    </row>
    <row r="7" spans="2:19">
      <c r="B7" s="65" t="s">
        <v>230</v>
      </c>
      <c r="C7" s="85">
        <v>44621</v>
      </c>
      <c r="D7" s="65" t="s">
        <v>188</v>
      </c>
      <c r="E7" s="65" t="s">
        <v>231</v>
      </c>
      <c r="F7" s="66">
        <v>100</v>
      </c>
      <c r="G7" s="66" t="s">
        <v>232</v>
      </c>
      <c r="H7" s="86">
        <f>F7*G7</f>
        <v>1200</v>
      </c>
      <c r="J7" s="65" t="s">
        <v>230</v>
      </c>
      <c r="K7" s="85">
        <v>44621</v>
      </c>
      <c r="L7" s="65" t="s">
        <v>188</v>
      </c>
      <c r="M7" s="65" t="s">
        <v>231</v>
      </c>
      <c r="N7" s="66">
        <v>100</v>
      </c>
      <c r="O7" s="87" t="str">
        <f>VLOOKUP(M7,B$20:F$27,5,FALSE)</f>
        <v>80</v>
      </c>
      <c r="P7" s="66" t="s">
        <v>232</v>
      </c>
      <c r="Q7" s="86">
        <f t="shared" ref="Q7:Q16" si="0">N7*P7</f>
        <v>1200</v>
      </c>
      <c r="R7" s="88">
        <f>O7*P7</f>
        <v>960</v>
      </c>
      <c r="S7" s="89">
        <f>R7/Q7</f>
        <v>0.8</v>
      </c>
    </row>
    <row r="8" spans="2:19">
      <c r="B8" s="67" t="s">
        <v>233</v>
      </c>
      <c r="C8" s="85">
        <v>44625</v>
      </c>
      <c r="D8" s="67" t="s">
        <v>190</v>
      </c>
      <c r="E8" s="67" t="s">
        <v>234</v>
      </c>
      <c r="F8" s="68">
        <v>120</v>
      </c>
      <c r="G8" s="68" t="s">
        <v>232</v>
      </c>
      <c r="H8" s="90">
        <f t="shared" ref="H8:H16" si="1">F8*G8</f>
        <v>1440</v>
      </c>
      <c r="J8" s="67" t="s">
        <v>233</v>
      </c>
      <c r="K8" s="85">
        <v>44625</v>
      </c>
      <c r="L8" s="67" t="s">
        <v>190</v>
      </c>
      <c r="M8" s="67" t="s">
        <v>234</v>
      </c>
      <c r="N8" s="68">
        <v>120</v>
      </c>
      <c r="O8" s="91" t="str">
        <f t="shared" ref="O8:O16" si="2">VLOOKUP(M8,B$20:F$27,5,FALSE)</f>
        <v>90</v>
      </c>
      <c r="P8" s="68" t="s">
        <v>232</v>
      </c>
      <c r="Q8" s="90">
        <f t="shared" si="0"/>
        <v>1440</v>
      </c>
      <c r="R8" s="92">
        <f t="shared" ref="R8:R16" si="3">O8*P8</f>
        <v>1080</v>
      </c>
      <c r="S8" s="93">
        <f t="shared" ref="S8:S16" si="4">R8/Q8</f>
        <v>0.75</v>
      </c>
    </row>
    <row r="9" spans="2:19">
      <c r="B9" s="65" t="s">
        <v>235</v>
      </c>
      <c r="C9" s="85">
        <v>44631</v>
      </c>
      <c r="D9" s="67" t="s">
        <v>194</v>
      </c>
      <c r="E9" s="67" t="s">
        <v>236</v>
      </c>
      <c r="F9" s="68">
        <v>140</v>
      </c>
      <c r="G9" s="68" t="s">
        <v>237</v>
      </c>
      <c r="H9" s="90">
        <f t="shared" si="1"/>
        <v>3360</v>
      </c>
      <c r="J9" s="65" t="s">
        <v>235</v>
      </c>
      <c r="K9" s="85">
        <v>44631</v>
      </c>
      <c r="L9" s="67" t="s">
        <v>194</v>
      </c>
      <c r="M9" s="67" t="s">
        <v>236</v>
      </c>
      <c r="N9" s="68">
        <v>140</v>
      </c>
      <c r="O9" s="91" t="str">
        <f t="shared" si="2"/>
        <v>90</v>
      </c>
      <c r="P9" s="68" t="s">
        <v>237</v>
      </c>
      <c r="Q9" s="90">
        <f t="shared" si="0"/>
        <v>3360</v>
      </c>
      <c r="R9" s="92">
        <f t="shared" si="3"/>
        <v>2160</v>
      </c>
      <c r="S9" s="93">
        <f t="shared" si="4"/>
        <v>0.6428571428571429</v>
      </c>
    </row>
    <row r="10" spans="2:19">
      <c r="B10" s="67" t="s">
        <v>238</v>
      </c>
      <c r="C10" s="85">
        <v>44632</v>
      </c>
      <c r="D10" s="67" t="s">
        <v>239</v>
      </c>
      <c r="E10" s="67" t="s">
        <v>234</v>
      </c>
      <c r="F10" s="68" t="s">
        <v>203</v>
      </c>
      <c r="G10" s="68" t="s">
        <v>240</v>
      </c>
      <c r="H10" s="90">
        <f t="shared" si="1"/>
        <v>7200</v>
      </c>
      <c r="J10" s="67" t="s">
        <v>238</v>
      </c>
      <c r="K10" s="85">
        <v>44632</v>
      </c>
      <c r="L10" s="67" t="s">
        <v>239</v>
      </c>
      <c r="M10" s="67" t="s">
        <v>234</v>
      </c>
      <c r="N10" s="68" t="s">
        <v>203</v>
      </c>
      <c r="O10" s="91" t="str">
        <f t="shared" si="2"/>
        <v>90</v>
      </c>
      <c r="P10" s="68" t="s">
        <v>240</v>
      </c>
      <c r="Q10" s="90">
        <f t="shared" si="0"/>
        <v>7200</v>
      </c>
      <c r="R10" s="92">
        <f t="shared" si="3"/>
        <v>5400</v>
      </c>
      <c r="S10" s="93">
        <f t="shared" si="4"/>
        <v>0.75</v>
      </c>
    </row>
    <row r="11" spans="2:19">
      <c r="B11" s="65" t="s">
        <v>241</v>
      </c>
      <c r="C11" s="85">
        <v>44635</v>
      </c>
      <c r="D11" s="67" t="s">
        <v>197</v>
      </c>
      <c r="E11" s="67" t="s">
        <v>231</v>
      </c>
      <c r="F11" s="68" t="s">
        <v>215</v>
      </c>
      <c r="G11" s="68" t="s">
        <v>232</v>
      </c>
      <c r="H11" s="90">
        <f t="shared" si="1"/>
        <v>1200</v>
      </c>
      <c r="J11" s="65" t="s">
        <v>241</v>
      </c>
      <c r="K11" s="85">
        <v>44635</v>
      </c>
      <c r="L11" s="67" t="s">
        <v>197</v>
      </c>
      <c r="M11" s="67" t="s">
        <v>231</v>
      </c>
      <c r="N11" s="68" t="s">
        <v>215</v>
      </c>
      <c r="O11" s="91" t="str">
        <f t="shared" si="2"/>
        <v>80</v>
      </c>
      <c r="P11" s="68" t="s">
        <v>232</v>
      </c>
      <c r="Q11" s="90">
        <f t="shared" si="0"/>
        <v>1200</v>
      </c>
      <c r="R11" s="92">
        <f t="shared" si="3"/>
        <v>960</v>
      </c>
      <c r="S11" s="93">
        <f t="shared" si="4"/>
        <v>0.8</v>
      </c>
    </row>
    <row r="12" spans="2:19">
      <c r="B12" s="65" t="s">
        <v>242</v>
      </c>
      <c r="C12" s="85">
        <v>44576</v>
      </c>
      <c r="D12" s="67" t="s">
        <v>243</v>
      </c>
      <c r="E12" s="67" t="s">
        <v>244</v>
      </c>
      <c r="F12" s="68">
        <v>150</v>
      </c>
      <c r="G12" s="68" t="s">
        <v>240</v>
      </c>
      <c r="H12" s="90">
        <f t="shared" si="1"/>
        <v>9000</v>
      </c>
      <c r="J12" s="65" t="s">
        <v>242</v>
      </c>
      <c r="K12" s="85">
        <v>44576</v>
      </c>
      <c r="L12" s="67" t="s">
        <v>243</v>
      </c>
      <c r="M12" s="67" t="s">
        <v>244</v>
      </c>
      <c r="N12" s="68">
        <v>150</v>
      </c>
      <c r="O12" s="91" t="str">
        <f t="shared" si="2"/>
        <v>100</v>
      </c>
      <c r="P12" s="68" t="s">
        <v>240</v>
      </c>
      <c r="Q12" s="90">
        <f t="shared" si="0"/>
        <v>9000</v>
      </c>
      <c r="R12" s="92">
        <f t="shared" si="3"/>
        <v>6000</v>
      </c>
      <c r="S12" s="93">
        <f t="shared" si="4"/>
        <v>0.66666666666666663</v>
      </c>
    </row>
    <row r="13" spans="2:19">
      <c r="B13" s="65" t="s">
        <v>245</v>
      </c>
      <c r="C13" s="85">
        <v>44638</v>
      </c>
      <c r="D13" s="67" t="s">
        <v>246</v>
      </c>
      <c r="E13" s="67" t="s">
        <v>247</v>
      </c>
      <c r="F13" s="68">
        <v>150</v>
      </c>
      <c r="G13" s="68" t="s">
        <v>248</v>
      </c>
      <c r="H13" s="90">
        <f t="shared" si="1"/>
        <v>5400</v>
      </c>
      <c r="J13" s="65" t="s">
        <v>245</v>
      </c>
      <c r="K13" s="85">
        <v>44638</v>
      </c>
      <c r="L13" s="67" t="s">
        <v>246</v>
      </c>
      <c r="M13" s="67" t="s">
        <v>247</v>
      </c>
      <c r="N13" s="68">
        <v>150</v>
      </c>
      <c r="O13" s="91" t="str">
        <f t="shared" si="2"/>
        <v>100</v>
      </c>
      <c r="P13" s="68" t="s">
        <v>248</v>
      </c>
      <c r="Q13" s="90">
        <f t="shared" si="0"/>
        <v>5400</v>
      </c>
      <c r="R13" s="92">
        <f t="shared" si="3"/>
        <v>3600</v>
      </c>
      <c r="S13" s="93">
        <f t="shared" si="4"/>
        <v>0.66666666666666663</v>
      </c>
    </row>
    <row r="14" spans="2:19">
      <c r="B14" s="65" t="s">
        <v>249</v>
      </c>
      <c r="C14" s="85">
        <v>44640</v>
      </c>
      <c r="D14" s="67" t="s">
        <v>197</v>
      </c>
      <c r="E14" s="67" t="s">
        <v>231</v>
      </c>
      <c r="F14" s="68" t="s">
        <v>215</v>
      </c>
      <c r="G14" s="68" t="s">
        <v>232</v>
      </c>
      <c r="H14" s="90">
        <f t="shared" si="1"/>
        <v>1200</v>
      </c>
      <c r="J14" s="65" t="s">
        <v>249</v>
      </c>
      <c r="K14" s="85">
        <v>44640</v>
      </c>
      <c r="L14" s="67" t="s">
        <v>197</v>
      </c>
      <c r="M14" s="67" t="s">
        <v>231</v>
      </c>
      <c r="N14" s="68" t="s">
        <v>215</v>
      </c>
      <c r="O14" s="91" t="str">
        <f t="shared" si="2"/>
        <v>80</v>
      </c>
      <c r="P14" s="68" t="s">
        <v>232</v>
      </c>
      <c r="Q14" s="90">
        <f t="shared" si="0"/>
        <v>1200</v>
      </c>
      <c r="R14" s="92">
        <f t="shared" si="3"/>
        <v>960</v>
      </c>
      <c r="S14" s="93">
        <f t="shared" si="4"/>
        <v>0.8</v>
      </c>
    </row>
    <row r="15" spans="2:19">
      <c r="B15" s="67" t="s">
        <v>250</v>
      </c>
      <c r="C15" s="85">
        <v>44640</v>
      </c>
      <c r="D15" s="67" t="s">
        <v>198</v>
      </c>
      <c r="E15" s="67" t="s">
        <v>244</v>
      </c>
      <c r="F15" s="68">
        <v>150</v>
      </c>
      <c r="G15" s="68" t="s">
        <v>240</v>
      </c>
      <c r="H15" s="90">
        <f t="shared" si="1"/>
        <v>9000</v>
      </c>
      <c r="J15" s="67" t="s">
        <v>250</v>
      </c>
      <c r="K15" s="85">
        <v>44640</v>
      </c>
      <c r="L15" s="67" t="s">
        <v>198</v>
      </c>
      <c r="M15" s="67" t="s">
        <v>244</v>
      </c>
      <c r="N15" s="68">
        <v>150</v>
      </c>
      <c r="O15" s="91" t="str">
        <f t="shared" si="2"/>
        <v>100</v>
      </c>
      <c r="P15" s="68" t="s">
        <v>240</v>
      </c>
      <c r="Q15" s="90">
        <f t="shared" si="0"/>
        <v>9000</v>
      </c>
      <c r="R15" s="92">
        <f t="shared" si="3"/>
        <v>6000</v>
      </c>
      <c r="S15" s="93">
        <f t="shared" si="4"/>
        <v>0.66666666666666663</v>
      </c>
    </row>
    <row r="16" spans="2:19" ht="18.5" thickBot="1">
      <c r="B16" s="76" t="s">
        <v>251</v>
      </c>
      <c r="C16" s="94">
        <v>44650</v>
      </c>
      <c r="D16" s="76" t="s">
        <v>199</v>
      </c>
      <c r="E16" s="76" t="s">
        <v>247</v>
      </c>
      <c r="F16" s="77">
        <v>150</v>
      </c>
      <c r="G16" s="77" t="s">
        <v>237</v>
      </c>
      <c r="H16" s="95">
        <f t="shared" si="1"/>
        <v>3600</v>
      </c>
      <c r="J16" s="76" t="s">
        <v>251</v>
      </c>
      <c r="K16" s="94">
        <v>44650</v>
      </c>
      <c r="L16" s="76" t="s">
        <v>199</v>
      </c>
      <c r="M16" s="76" t="s">
        <v>247</v>
      </c>
      <c r="N16" s="77">
        <v>150</v>
      </c>
      <c r="O16" s="96" t="str">
        <f t="shared" si="2"/>
        <v>100</v>
      </c>
      <c r="P16" s="77" t="s">
        <v>237</v>
      </c>
      <c r="Q16" s="95">
        <f t="shared" si="0"/>
        <v>3600</v>
      </c>
      <c r="R16" s="97">
        <f t="shared" si="3"/>
        <v>2400</v>
      </c>
      <c r="S16" s="98">
        <f t="shared" si="4"/>
        <v>0.66666666666666663</v>
      </c>
    </row>
    <row r="17" spans="2:12" ht="18.5" thickBot="1">
      <c r="B17" s="99" t="s">
        <v>252</v>
      </c>
      <c r="C17" s="99"/>
      <c r="D17" s="99"/>
      <c r="E17" s="99"/>
      <c r="F17" s="99"/>
      <c r="G17" s="99"/>
      <c r="H17" s="100">
        <f>SUM(H7:H16)</f>
        <v>42600</v>
      </c>
    </row>
    <row r="19" spans="2:12" ht="18.5" thickBot="1">
      <c r="B19" s="61" t="s">
        <v>253</v>
      </c>
      <c r="L19" s="101"/>
    </row>
    <row r="20" spans="2:12" ht="18.5" thickBot="1">
      <c r="B20" s="62" t="s">
        <v>181</v>
      </c>
      <c r="C20" s="62" t="s">
        <v>182</v>
      </c>
      <c r="D20" s="62" t="s">
        <v>183</v>
      </c>
      <c r="E20" s="62" t="s">
        <v>184</v>
      </c>
      <c r="F20" s="62" t="s">
        <v>254</v>
      </c>
      <c r="G20" s="102"/>
    </row>
    <row r="21" spans="2:12">
      <c r="B21" s="65" t="s">
        <v>255</v>
      </c>
      <c r="C21" s="65" t="s">
        <v>187</v>
      </c>
      <c r="D21" s="65" t="s">
        <v>188</v>
      </c>
      <c r="E21" s="65" t="s">
        <v>189</v>
      </c>
      <c r="F21" s="66" t="s">
        <v>256</v>
      </c>
      <c r="G21" s="103"/>
    </row>
    <row r="22" spans="2:12">
      <c r="B22" s="67" t="s">
        <v>234</v>
      </c>
      <c r="C22" s="67" t="s">
        <v>187</v>
      </c>
      <c r="D22" s="67" t="s">
        <v>190</v>
      </c>
      <c r="E22" s="67" t="s">
        <v>189</v>
      </c>
      <c r="F22" s="68" t="s">
        <v>257</v>
      </c>
      <c r="G22" s="103"/>
    </row>
    <row r="23" spans="2:12">
      <c r="B23" s="65" t="s">
        <v>258</v>
      </c>
      <c r="C23" s="67" t="s">
        <v>187</v>
      </c>
      <c r="D23" s="67" t="s">
        <v>194</v>
      </c>
      <c r="E23" s="67" t="s">
        <v>189</v>
      </c>
      <c r="F23" s="68" t="s">
        <v>257</v>
      </c>
      <c r="G23" s="103"/>
    </row>
    <row r="24" spans="2:12">
      <c r="B24" s="67" t="s">
        <v>259</v>
      </c>
      <c r="C24" s="67" t="s">
        <v>187</v>
      </c>
      <c r="D24" s="67" t="s">
        <v>195</v>
      </c>
      <c r="E24" s="67" t="s">
        <v>189</v>
      </c>
      <c r="F24" s="68" t="s">
        <v>240</v>
      </c>
      <c r="G24" s="103"/>
    </row>
    <row r="25" spans="2:12">
      <c r="B25" s="65" t="s">
        <v>260</v>
      </c>
      <c r="C25" s="67" t="s">
        <v>187</v>
      </c>
      <c r="D25" s="67" t="s">
        <v>196</v>
      </c>
      <c r="E25" s="67" t="s">
        <v>189</v>
      </c>
      <c r="F25" s="68" t="s">
        <v>240</v>
      </c>
      <c r="G25" s="103"/>
    </row>
    <row r="26" spans="2:12">
      <c r="B26" s="67" t="s">
        <v>261</v>
      </c>
      <c r="C26" s="67" t="s">
        <v>187</v>
      </c>
      <c r="D26" s="67" t="s">
        <v>198</v>
      </c>
      <c r="E26" s="67" t="s">
        <v>189</v>
      </c>
      <c r="F26" s="68" t="s">
        <v>215</v>
      </c>
      <c r="G26" s="103"/>
    </row>
    <row r="27" spans="2:12" ht="18.5" thickBot="1">
      <c r="B27" s="76" t="s">
        <v>262</v>
      </c>
      <c r="C27" s="76" t="s">
        <v>187</v>
      </c>
      <c r="D27" s="76" t="s">
        <v>199</v>
      </c>
      <c r="E27" s="76" t="s">
        <v>189</v>
      </c>
      <c r="F27" s="77" t="s">
        <v>215</v>
      </c>
      <c r="G27" s="103"/>
    </row>
  </sheetData>
  <phoneticPr fontId="3"/>
  <pageMargins left="0.7" right="0.7" top="0.75" bottom="0.75" header="0.3" footer="0.3"/>
  <ignoredErrors>
    <ignoredError sqref="B7:P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0CD8-4F9F-4AA6-98FD-4452B06F475D}">
  <dimension ref="B1:Y38"/>
  <sheetViews>
    <sheetView workbookViewId="0"/>
  </sheetViews>
  <sheetFormatPr defaultColWidth="9" defaultRowHeight="13.5"/>
  <cols>
    <col min="1" max="1" width="2.08203125" style="105" customWidth="1"/>
    <col min="2" max="2" width="4.08203125" style="105" customWidth="1"/>
    <col min="3" max="3" width="13.6640625" style="105" bestFit="1" customWidth="1"/>
    <col min="4" max="5" width="8.58203125" style="106" customWidth="1"/>
    <col min="6" max="6" width="7.83203125" style="106" bestFit="1" customWidth="1"/>
    <col min="7" max="8" width="7.5" style="106" bestFit="1" customWidth="1"/>
    <col min="9" max="9" width="6.5" style="106" bestFit="1" customWidth="1"/>
    <col min="10" max="10" width="8" style="106" customWidth="1"/>
    <col min="11" max="22" width="7.08203125" style="107" customWidth="1"/>
    <col min="23" max="23" width="7.83203125" style="107" customWidth="1"/>
    <col min="24" max="16384" width="9" style="105"/>
  </cols>
  <sheetData>
    <row r="1" spans="2:25" ht="19.5">
      <c r="B1" s="104" t="s">
        <v>263</v>
      </c>
    </row>
    <row r="2" spans="2:25" ht="14" thickBot="1">
      <c r="J2" s="106" t="s">
        <v>264</v>
      </c>
      <c r="K2" s="107" t="s">
        <v>265</v>
      </c>
      <c r="L2" s="107" t="s">
        <v>266</v>
      </c>
      <c r="M2" s="107" t="s">
        <v>267</v>
      </c>
      <c r="N2" s="107" t="s">
        <v>268</v>
      </c>
      <c r="O2" s="107" t="s">
        <v>269</v>
      </c>
      <c r="P2" s="107" t="s">
        <v>270</v>
      </c>
      <c r="Q2" s="107" t="s">
        <v>271</v>
      </c>
      <c r="R2" s="107" t="s">
        <v>272</v>
      </c>
      <c r="S2" s="107" t="s">
        <v>273</v>
      </c>
      <c r="T2" s="107" t="s">
        <v>274</v>
      </c>
      <c r="U2" s="107" t="s">
        <v>275</v>
      </c>
      <c r="V2" s="107" t="s">
        <v>276</v>
      </c>
      <c r="W2" s="107" t="s">
        <v>252</v>
      </c>
    </row>
    <row r="3" spans="2:25">
      <c r="J3" s="108" t="s">
        <v>277</v>
      </c>
      <c r="K3" s="109">
        <f t="shared" ref="K3:V3" si="0">SUMIF($B:$B,"A",K:K)</f>
        <v>294.26</v>
      </c>
      <c r="L3" s="109">
        <f t="shared" si="0"/>
        <v>409.56</v>
      </c>
      <c r="M3" s="109">
        <f t="shared" si="0"/>
        <v>867.42000000000007</v>
      </c>
      <c r="N3" s="109">
        <f t="shared" si="0"/>
        <v>829.90000000000009</v>
      </c>
      <c r="O3" s="109">
        <f t="shared" si="0"/>
        <v>823.42000000000007</v>
      </c>
      <c r="P3" s="109">
        <f t="shared" si="0"/>
        <v>829.90000000000009</v>
      </c>
      <c r="Q3" s="109">
        <f t="shared" si="0"/>
        <v>1231.42</v>
      </c>
      <c r="R3" s="109">
        <f t="shared" si="0"/>
        <v>1071.42</v>
      </c>
      <c r="S3" s="109">
        <f t="shared" si="0"/>
        <v>1325.9</v>
      </c>
      <c r="T3" s="109">
        <f t="shared" si="0"/>
        <v>907.3</v>
      </c>
      <c r="U3" s="109">
        <f t="shared" si="0"/>
        <v>609.90000000000009</v>
      </c>
      <c r="V3" s="109">
        <f t="shared" si="0"/>
        <v>857.90000000000009</v>
      </c>
      <c r="W3" s="109">
        <f>SUM(K3:V3)</f>
        <v>10058.299999999999</v>
      </c>
    </row>
    <row r="4" spans="2:25">
      <c r="J4" s="110" t="s">
        <v>278</v>
      </c>
      <c r="K4" s="111">
        <f t="shared" ref="K4:V4" si="1">SUMIF($B:$B,"B",K:K)</f>
        <v>864</v>
      </c>
      <c r="L4" s="111">
        <f t="shared" si="1"/>
        <v>864</v>
      </c>
      <c r="M4" s="111">
        <f t="shared" si="1"/>
        <v>864</v>
      </c>
      <c r="N4" s="111">
        <f t="shared" si="1"/>
        <v>864</v>
      </c>
      <c r="O4" s="111">
        <f t="shared" si="1"/>
        <v>648</v>
      </c>
      <c r="P4" s="111">
        <f t="shared" si="1"/>
        <v>0</v>
      </c>
      <c r="Q4" s="111">
        <f t="shared" si="1"/>
        <v>0</v>
      </c>
      <c r="R4" s="111">
        <f t="shared" si="1"/>
        <v>240</v>
      </c>
      <c r="S4" s="111">
        <f t="shared" si="1"/>
        <v>0</v>
      </c>
      <c r="T4" s="111">
        <f t="shared" si="1"/>
        <v>0</v>
      </c>
      <c r="U4" s="111">
        <f t="shared" si="1"/>
        <v>240</v>
      </c>
      <c r="V4" s="111">
        <f t="shared" si="1"/>
        <v>0</v>
      </c>
      <c r="W4" s="111">
        <f t="shared" ref="W4:W5" si="2">SUM(K4:V4)</f>
        <v>4584</v>
      </c>
    </row>
    <row r="5" spans="2:25">
      <c r="J5" s="110" t="s">
        <v>279</v>
      </c>
      <c r="K5" s="111">
        <f t="shared" ref="K5:V5" si="3">SUMIF($B:$B,"C",K:K)</f>
        <v>204</v>
      </c>
      <c r="L5" s="111">
        <f t="shared" si="3"/>
        <v>196</v>
      </c>
      <c r="M5" s="111">
        <f t="shared" si="3"/>
        <v>0</v>
      </c>
      <c r="N5" s="111">
        <f t="shared" si="3"/>
        <v>0</v>
      </c>
      <c r="O5" s="111">
        <f t="shared" si="3"/>
        <v>540</v>
      </c>
      <c r="P5" s="111">
        <f t="shared" si="3"/>
        <v>1152</v>
      </c>
      <c r="Q5" s="111">
        <f t="shared" si="3"/>
        <v>808</v>
      </c>
      <c r="R5" s="111">
        <f t="shared" si="3"/>
        <v>0</v>
      </c>
      <c r="S5" s="111">
        <f t="shared" si="3"/>
        <v>408</v>
      </c>
      <c r="T5" s="111">
        <f t="shared" si="3"/>
        <v>604</v>
      </c>
      <c r="U5" s="111">
        <f t="shared" si="3"/>
        <v>0</v>
      </c>
      <c r="V5" s="111">
        <f t="shared" si="3"/>
        <v>408</v>
      </c>
      <c r="W5" s="111">
        <f t="shared" si="2"/>
        <v>4320</v>
      </c>
    </row>
    <row r="6" spans="2:25" ht="14" thickBot="1">
      <c r="J6" s="112" t="s">
        <v>280</v>
      </c>
      <c r="K6" s="113">
        <f>SUM(K3:K5)</f>
        <v>1362.26</v>
      </c>
      <c r="L6" s="113">
        <f t="shared" ref="L6:W6" si="4">SUM(L3:L5)</f>
        <v>1469.56</v>
      </c>
      <c r="M6" s="113">
        <f t="shared" si="4"/>
        <v>1731.42</v>
      </c>
      <c r="N6" s="113">
        <f t="shared" si="4"/>
        <v>1693.9</v>
      </c>
      <c r="O6" s="113">
        <f t="shared" si="4"/>
        <v>2011.42</v>
      </c>
      <c r="P6" s="113">
        <f t="shared" si="4"/>
        <v>1981.9</v>
      </c>
      <c r="Q6" s="113">
        <f t="shared" si="4"/>
        <v>2039.42</v>
      </c>
      <c r="R6" s="113">
        <f t="shared" si="4"/>
        <v>1311.42</v>
      </c>
      <c r="S6" s="113">
        <f t="shared" si="4"/>
        <v>1733.9</v>
      </c>
      <c r="T6" s="113">
        <f t="shared" si="4"/>
        <v>1511.3</v>
      </c>
      <c r="U6" s="113">
        <f t="shared" si="4"/>
        <v>849.90000000000009</v>
      </c>
      <c r="V6" s="113">
        <f t="shared" si="4"/>
        <v>1265.9000000000001</v>
      </c>
      <c r="W6" s="113">
        <f t="shared" si="4"/>
        <v>18962.3</v>
      </c>
    </row>
    <row r="7" spans="2:25" ht="15.5" thickBot="1">
      <c r="B7" s="114" t="s">
        <v>281</v>
      </c>
      <c r="D7" s="115" t="s">
        <v>282</v>
      </c>
    </row>
    <row r="8" spans="2:25">
      <c r="B8" s="164" t="s">
        <v>283</v>
      </c>
      <c r="C8" s="160" t="s">
        <v>284</v>
      </c>
      <c r="D8" s="160" t="s">
        <v>285</v>
      </c>
      <c r="E8" s="164" t="s">
        <v>286</v>
      </c>
      <c r="F8" s="160" t="s">
        <v>287</v>
      </c>
      <c r="G8" s="160" t="s">
        <v>288</v>
      </c>
      <c r="H8" s="160" t="s">
        <v>289</v>
      </c>
      <c r="I8" s="160" t="s">
        <v>290</v>
      </c>
      <c r="J8" s="160" t="s">
        <v>291</v>
      </c>
      <c r="K8" s="162" t="s">
        <v>292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 t="s">
        <v>29</v>
      </c>
    </row>
    <row r="9" spans="2:25" ht="14" thickBot="1">
      <c r="B9" s="165"/>
      <c r="C9" s="161"/>
      <c r="D9" s="161"/>
      <c r="E9" s="165"/>
      <c r="F9" s="161"/>
      <c r="G9" s="161"/>
      <c r="H9" s="161"/>
      <c r="I9" s="161"/>
      <c r="J9" s="161"/>
      <c r="K9" s="116" t="s">
        <v>265</v>
      </c>
      <c r="L9" s="116" t="s">
        <v>266</v>
      </c>
      <c r="M9" s="116" t="s">
        <v>267</v>
      </c>
      <c r="N9" s="116" t="s">
        <v>268</v>
      </c>
      <c r="O9" s="116" t="s">
        <v>269</v>
      </c>
      <c r="P9" s="116" t="s">
        <v>270</v>
      </c>
      <c r="Q9" s="116" t="s">
        <v>271</v>
      </c>
      <c r="R9" s="116" t="s">
        <v>272</v>
      </c>
      <c r="S9" s="116" t="s">
        <v>273</v>
      </c>
      <c r="T9" s="116" t="s">
        <v>274</v>
      </c>
      <c r="U9" s="116" t="s">
        <v>275</v>
      </c>
      <c r="V9" s="116" t="s">
        <v>276</v>
      </c>
      <c r="W9" s="163"/>
    </row>
    <row r="10" spans="2:25">
      <c r="B10" s="117" t="s">
        <v>293</v>
      </c>
      <c r="C10" s="117" t="s">
        <v>294</v>
      </c>
      <c r="D10" s="118">
        <v>22000</v>
      </c>
      <c r="E10" s="119">
        <f>F10+G10</f>
        <v>19500</v>
      </c>
      <c r="F10" s="120">
        <v>11500</v>
      </c>
      <c r="G10" s="120">
        <v>8000</v>
      </c>
      <c r="H10" s="119">
        <f>D10-E10</f>
        <v>2500</v>
      </c>
      <c r="I10" s="121">
        <f>H10/D10</f>
        <v>0.11363636363636363</v>
      </c>
      <c r="J10" s="122" t="s">
        <v>295</v>
      </c>
      <c r="K10" s="123">
        <f>$D10/1000*K11</f>
        <v>0</v>
      </c>
      <c r="L10" s="123">
        <f t="shared" ref="L10:V10" si="5">$D10/1000*L11</f>
        <v>264</v>
      </c>
      <c r="M10" s="123">
        <f t="shared" si="5"/>
        <v>0</v>
      </c>
      <c r="N10" s="123">
        <f t="shared" si="5"/>
        <v>264</v>
      </c>
      <c r="O10" s="123">
        <f t="shared" si="5"/>
        <v>0</v>
      </c>
      <c r="P10" s="123">
        <f t="shared" si="5"/>
        <v>264</v>
      </c>
      <c r="Q10" s="123">
        <f t="shared" si="5"/>
        <v>0</v>
      </c>
      <c r="R10" s="123">
        <f t="shared" si="5"/>
        <v>0</v>
      </c>
      <c r="S10" s="123">
        <f t="shared" si="5"/>
        <v>264</v>
      </c>
      <c r="T10" s="123">
        <f t="shared" si="5"/>
        <v>0</v>
      </c>
      <c r="U10" s="123">
        <f t="shared" si="5"/>
        <v>0</v>
      </c>
      <c r="V10" s="123">
        <f t="shared" si="5"/>
        <v>0</v>
      </c>
      <c r="W10" s="123">
        <f>SUM(K10:V10)</f>
        <v>1056</v>
      </c>
    </row>
    <row r="11" spans="2:25">
      <c r="D11" s="124"/>
      <c r="E11" s="125"/>
      <c r="F11" s="125"/>
      <c r="G11" s="125"/>
      <c r="H11" s="125"/>
      <c r="I11" s="126"/>
      <c r="J11" s="127" t="s">
        <v>296</v>
      </c>
      <c r="K11" s="128">
        <v>0</v>
      </c>
      <c r="L11" s="128">
        <v>12</v>
      </c>
      <c r="M11" s="128">
        <v>0</v>
      </c>
      <c r="N11" s="128">
        <v>12</v>
      </c>
      <c r="O11" s="128">
        <v>0</v>
      </c>
      <c r="P11" s="128">
        <v>12</v>
      </c>
      <c r="Q11" s="128">
        <v>0</v>
      </c>
      <c r="R11" s="128">
        <v>0</v>
      </c>
      <c r="S11" s="128">
        <v>12</v>
      </c>
      <c r="T11" s="128">
        <v>0</v>
      </c>
      <c r="U11" s="128">
        <v>0</v>
      </c>
      <c r="V11" s="128">
        <v>0</v>
      </c>
      <c r="W11" s="129">
        <f>SUM(K11:V11)</f>
        <v>48</v>
      </c>
    </row>
    <row r="12" spans="2:25">
      <c r="B12" s="130" t="s">
        <v>293</v>
      </c>
      <c r="C12" s="130" t="s">
        <v>294</v>
      </c>
      <c r="D12" s="131">
        <v>21460</v>
      </c>
      <c r="E12" s="132">
        <f>F12+G12</f>
        <v>19650</v>
      </c>
      <c r="F12" s="133">
        <v>11050</v>
      </c>
      <c r="G12" s="133">
        <v>8600</v>
      </c>
      <c r="H12" s="132">
        <f>D12-E12</f>
        <v>1810</v>
      </c>
      <c r="I12" s="134">
        <f>H12/D12</f>
        <v>8.4342963653308484E-2</v>
      </c>
      <c r="J12" s="135" t="s">
        <v>295</v>
      </c>
      <c r="K12" s="136">
        <f>$D12/1000*K13</f>
        <v>0</v>
      </c>
      <c r="L12" s="136">
        <f t="shared" ref="L12:V12" si="6">$D12/1000*L13</f>
        <v>0</v>
      </c>
      <c r="M12" s="136">
        <f t="shared" si="6"/>
        <v>257.52</v>
      </c>
      <c r="N12" s="136">
        <f t="shared" si="6"/>
        <v>0</v>
      </c>
      <c r="O12" s="136">
        <f t="shared" si="6"/>
        <v>257.52</v>
      </c>
      <c r="P12" s="136">
        <f t="shared" si="6"/>
        <v>0</v>
      </c>
      <c r="Q12" s="136">
        <f t="shared" si="6"/>
        <v>257.52</v>
      </c>
      <c r="R12" s="136">
        <f t="shared" si="6"/>
        <v>257.52</v>
      </c>
      <c r="S12" s="136">
        <f t="shared" si="6"/>
        <v>0</v>
      </c>
      <c r="T12" s="136">
        <f t="shared" si="6"/>
        <v>0</v>
      </c>
      <c r="U12" s="136">
        <f t="shared" si="6"/>
        <v>0</v>
      </c>
      <c r="V12" s="136">
        <f t="shared" si="6"/>
        <v>0</v>
      </c>
      <c r="W12" s="136">
        <f>SUM(K12:V12)</f>
        <v>1030.08</v>
      </c>
      <c r="Y12" s="105" t="s">
        <v>220</v>
      </c>
    </row>
    <row r="13" spans="2:25">
      <c r="B13" s="137"/>
      <c r="C13" s="137"/>
      <c r="D13" s="138"/>
      <c r="E13" s="139"/>
      <c r="F13" s="139"/>
      <c r="G13" s="139"/>
      <c r="H13" s="139"/>
      <c r="I13" s="140"/>
      <c r="J13" s="141" t="s">
        <v>296</v>
      </c>
      <c r="K13" s="142">
        <v>0</v>
      </c>
      <c r="L13" s="142">
        <v>0</v>
      </c>
      <c r="M13" s="142">
        <v>12</v>
      </c>
      <c r="N13" s="142">
        <v>0</v>
      </c>
      <c r="O13" s="142">
        <v>12</v>
      </c>
      <c r="P13" s="142">
        <v>0</v>
      </c>
      <c r="Q13" s="142">
        <v>12</v>
      </c>
      <c r="R13" s="142">
        <v>12</v>
      </c>
      <c r="S13" s="142">
        <v>0</v>
      </c>
      <c r="T13" s="142">
        <v>0</v>
      </c>
      <c r="U13" s="142">
        <v>0</v>
      </c>
      <c r="V13" s="142">
        <v>0</v>
      </c>
      <c r="W13" s="143">
        <f>SUM(K13:V13)</f>
        <v>48</v>
      </c>
    </row>
    <row r="14" spans="2:25">
      <c r="B14" s="105" t="s">
        <v>293</v>
      </c>
      <c r="C14" s="144" t="s">
        <v>297</v>
      </c>
      <c r="D14" s="145">
        <v>6065</v>
      </c>
      <c r="E14" s="125">
        <f>F14+G14</f>
        <v>4800</v>
      </c>
      <c r="F14" s="146">
        <v>0</v>
      </c>
      <c r="G14" s="146">
        <v>4800</v>
      </c>
      <c r="H14" s="125">
        <f>D14-E14</f>
        <v>1265</v>
      </c>
      <c r="I14" s="147">
        <f>H14/D14</f>
        <v>0.20857378400659521</v>
      </c>
      <c r="J14" s="148" t="s">
        <v>295</v>
      </c>
      <c r="K14" s="129">
        <f>$D14/1000*K15</f>
        <v>145.56</v>
      </c>
      <c r="L14" s="129">
        <f t="shared" ref="L14:V14" si="7">$D14/1000*L15</f>
        <v>145.56</v>
      </c>
      <c r="M14" s="129">
        <f t="shared" si="7"/>
        <v>363.90000000000003</v>
      </c>
      <c r="N14" s="129">
        <f t="shared" si="7"/>
        <v>363.90000000000003</v>
      </c>
      <c r="O14" s="129">
        <f t="shared" si="7"/>
        <v>363.90000000000003</v>
      </c>
      <c r="P14" s="129">
        <f t="shared" si="7"/>
        <v>363.90000000000003</v>
      </c>
      <c r="Q14" s="129">
        <f t="shared" si="7"/>
        <v>363.90000000000003</v>
      </c>
      <c r="R14" s="129">
        <f t="shared" si="7"/>
        <v>363.90000000000003</v>
      </c>
      <c r="S14" s="129">
        <f t="shared" si="7"/>
        <v>363.90000000000003</v>
      </c>
      <c r="T14" s="129">
        <f t="shared" si="7"/>
        <v>363.90000000000003</v>
      </c>
      <c r="U14" s="129">
        <f t="shared" si="7"/>
        <v>363.90000000000003</v>
      </c>
      <c r="V14" s="129">
        <f t="shared" si="7"/>
        <v>363.90000000000003</v>
      </c>
      <c r="W14" s="129">
        <f t="shared" ref="W14:W24" si="8">SUM(K14:V14)</f>
        <v>3930.1200000000008</v>
      </c>
    </row>
    <row r="15" spans="2:25">
      <c r="C15" s="144"/>
      <c r="D15" s="124"/>
      <c r="E15" s="125"/>
      <c r="F15" s="125"/>
      <c r="G15" s="125"/>
      <c r="H15" s="125"/>
      <c r="I15" s="147"/>
      <c r="J15" s="127" t="s">
        <v>296</v>
      </c>
      <c r="K15" s="128">
        <v>24</v>
      </c>
      <c r="L15" s="128">
        <v>24</v>
      </c>
      <c r="M15" s="128">
        <v>60</v>
      </c>
      <c r="N15" s="128">
        <v>60</v>
      </c>
      <c r="O15" s="128">
        <v>60</v>
      </c>
      <c r="P15" s="128">
        <v>60</v>
      </c>
      <c r="Q15" s="128">
        <v>60</v>
      </c>
      <c r="R15" s="128">
        <v>60</v>
      </c>
      <c r="S15" s="128">
        <v>60</v>
      </c>
      <c r="T15" s="128">
        <v>60</v>
      </c>
      <c r="U15" s="128">
        <v>60</v>
      </c>
      <c r="V15" s="128">
        <v>60</v>
      </c>
      <c r="W15" s="129">
        <f>SUM(K15:V15)</f>
        <v>648</v>
      </c>
    </row>
    <row r="16" spans="2:25">
      <c r="B16" s="130" t="s">
        <v>278</v>
      </c>
      <c r="C16" s="149" t="s">
        <v>298</v>
      </c>
      <c r="D16" s="131">
        <v>18000</v>
      </c>
      <c r="E16" s="132">
        <f>F16+G16</f>
        <v>17200</v>
      </c>
      <c r="F16" s="133">
        <v>10200</v>
      </c>
      <c r="G16" s="133">
        <v>7000</v>
      </c>
      <c r="H16" s="132">
        <f>D16-E16</f>
        <v>800</v>
      </c>
      <c r="I16" s="134">
        <f>H16/D16</f>
        <v>4.4444444444444446E-2</v>
      </c>
      <c r="J16" s="135" t="s">
        <v>295</v>
      </c>
      <c r="K16" s="136">
        <f>$D16/1000*K17</f>
        <v>864</v>
      </c>
      <c r="L16" s="136">
        <f t="shared" ref="L16:V16" si="9">$D16/1000*L17</f>
        <v>864</v>
      </c>
      <c r="M16" s="136">
        <f t="shared" si="9"/>
        <v>864</v>
      </c>
      <c r="N16" s="136">
        <f t="shared" si="9"/>
        <v>864</v>
      </c>
      <c r="O16" s="136">
        <f t="shared" si="9"/>
        <v>648</v>
      </c>
      <c r="P16" s="136">
        <f t="shared" si="9"/>
        <v>0</v>
      </c>
      <c r="Q16" s="136">
        <f t="shared" si="9"/>
        <v>0</v>
      </c>
      <c r="R16" s="136">
        <f t="shared" si="9"/>
        <v>0</v>
      </c>
      <c r="S16" s="136">
        <f t="shared" si="9"/>
        <v>0</v>
      </c>
      <c r="T16" s="136">
        <f t="shared" si="9"/>
        <v>0</v>
      </c>
      <c r="U16" s="136">
        <f t="shared" si="9"/>
        <v>0</v>
      </c>
      <c r="V16" s="136">
        <f t="shared" si="9"/>
        <v>0</v>
      </c>
      <c r="W16" s="136">
        <f t="shared" si="8"/>
        <v>4104</v>
      </c>
    </row>
    <row r="17" spans="2:23">
      <c r="B17" s="137"/>
      <c r="C17" s="150"/>
      <c r="D17" s="138"/>
      <c r="E17" s="139"/>
      <c r="F17" s="139"/>
      <c r="G17" s="139"/>
      <c r="H17" s="139"/>
      <c r="I17" s="140"/>
      <c r="J17" s="141" t="s">
        <v>296</v>
      </c>
      <c r="K17" s="142">
        <f>4*12</f>
        <v>48</v>
      </c>
      <c r="L17" s="142">
        <v>48</v>
      </c>
      <c r="M17" s="142">
        <v>48</v>
      </c>
      <c r="N17" s="142">
        <v>48</v>
      </c>
      <c r="O17" s="142">
        <v>36</v>
      </c>
      <c r="P17" s="142">
        <v>0</v>
      </c>
      <c r="Q17" s="142">
        <v>0</v>
      </c>
      <c r="R17" s="142">
        <v>0</v>
      </c>
      <c r="S17" s="142">
        <v>0</v>
      </c>
      <c r="T17" s="142">
        <v>0</v>
      </c>
      <c r="U17" s="142">
        <v>0</v>
      </c>
      <c r="V17" s="142">
        <v>0</v>
      </c>
      <c r="W17" s="143">
        <f>SUM(K17:V17)</f>
        <v>228</v>
      </c>
    </row>
    <row r="18" spans="2:23">
      <c r="B18" s="105" t="s">
        <v>279</v>
      </c>
      <c r="C18" s="144" t="s">
        <v>299</v>
      </c>
      <c r="D18" s="145">
        <v>45000</v>
      </c>
      <c r="E18" s="125">
        <f>F18+G18</f>
        <v>30700</v>
      </c>
      <c r="F18" s="146">
        <v>18000</v>
      </c>
      <c r="G18" s="146">
        <v>12700</v>
      </c>
      <c r="H18" s="125">
        <f>D18-E18</f>
        <v>14300</v>
      </c>
      <c r="I18" s="126">
        <f>H18/D18</f>
        <v>0.31777777777777777</v>
      </c>
      <c r="J18" s="148" t="s">
        <v>295</v>
      </c>
      <c r="K18" s="129">
        <f>$D18/1000*K19</f>
        <v>0</v>
      </c>
      <c r="L18" s="129">
        <f t="shared" ref="L18:V18" si="10">$D18/1000*L19</f>
        <v>0</v>
      </c>
      <c r="M18" s="129">
        <f t="shared" si="10"/>
        <v>0</v>
      </c>
      <c r="N18" s="129">
        <f t="shared" si="10"/>
        <v>0</v>
      </c>
      <c r="O18" s="129">
        <f t="shared" si="10"/>
        <v>540</v>
      </c>
      <c r="P18" s="129">
        <f t="shared" si="10"/>
        <v>540</v>
      </c>
      <c r="Q18" s="129">
        <f t="shared" si="10"/>
        <v>0</v>
      </c>
      <c r="R18" s="129">
        <f t="shared" si="10"/>
        <v>0</v>
      </c>
      <c r="S18" s="129">
        <f t="shared" si="10"/>
        <v>0</v>
      </c>
      <c r="T18" s="129">
        <f t="shared" si="10"/>
        <v>0</v>
      </c>
      <c r="U18" s="129">
        <f t="shared" si="10"/>
        <v>0</v>
      </c>
      <c r="V18" s="129">
        <f t="shared" si="10"/>
        <v>0</v>
      </c>
      <c r="W18" s="129">
        <f t="shared" si="8"/>
        <v>1080</v>
      </c>
    </row>
    <row r="19" spans="2:23">
      <c r="C19" s="144"/>
      <c r="D19" s="124"/>
      <c r="E19" s="125"/>
      <c r="F19" s="125"/>
      <c r="G19" s="125"/>
      <c r="H19" s="125"/>
      <c r="I19" s="126"/>
      <c r="J19" s="127" t="s">
        <v>296</v>
      </c>
      <c r="K19" s="128">
        <v>0</v>
      </c>
      <c r="L19" s="128">
        <v>0</v>
      </c>
      <c r="M19" s="128">
        <v>0</v>
      </c>
      <c r="N19" s="128">
        <v>0</v>
      </c>
      <c r="O19" s="128">
        <v>12</v>
      </c>
      <c r="P19" s="128">
        <v>12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9">
        <f>SUM(K19:V19)</f>
        <v>24</v>
      </c>
    </row>
    <row r="20" spans="2:23">
      <c r="B20" s="130" t="s">
        <v>293</v>
      </c>
      <c r="C20" s="149" t="s">
        <v>294</v>
      </c>
      <c r="D20" s="131">
        <v>20000</v>
      </c>
      <c r="E20" s="132">
        <f>F20+G20</f>
        <v>19300</v>
      </c>
      <c r="F20" s="133">
        <v>1300</v>
      </c>
      <c r="G20" s="133">
        <v>18000</v>
      </c>
      <c r="H20" s="132">
        <f>D20-E20</f>
        <v>700</v>
      </c>
      <c r="I20" s="151">
        <f>H20/D20</f>
        <v>3.5000000000000003E-2</v>
      </c>
      <c r="J20" s="135" t="s">
        <v>295</v>
      </c>
      <c r="K20" s="136">
        <f>$D20/1000*K21</f>
        <v>0</v>
      </c>
      <c r="L20" s="136">
        <f t="shared" ref="L20:V20" si="11">$D20/1000*L21</f>
        <v>0</v>
      </c>
      <c r="M20" s="136">
        <f t="shared" si="11"/>
        <v>0</v>
      </c>
      <c r="N20" s="136">
        <f t="shared" si="11"/>
        <v>160</v>
      </c>
      <c r="O20" s="136">
        <f t="shared" si="11"/>
        <v>160</v>
      </c>
      <c r="P20" s="136">
        <f t="shared" si="11"/>
        <v>160</v>
      </c>
      <c r="Q20" s="136">
        <f t="shared" si="11"/>
        <v>160</v>
      </c>
      <c r="R20" s="136">
        <f t="shared" si="11"/>
        <v>0</v>
      </c>
      <c r="S20" s="136">
        <f t="shared" si="11"/>
        <v>0</v>
      </c>
      <c r="T20" s="136">
        <f t="shared" si="11"/>
        <v>0</v>
      </c>
      <c r="U20" s="136">
        <f t="shared" si="11"/>
        <v>0</v>
      </c>
      <c r="V20" s="136">
        <f t="shared" si="11"/>
        <v>0</v>
      </c>
      <c r="W20" s="136">
        <f t="shared" si="8"/>
        <v>640</v>
      </c>
    </row>
    <row r="21" spans="2:23">
      <c r="C21" s="144"/>
      <c r="D21" s="124"/>
      <c r="E21" s="125"/>
      <c r="F21" s="125"/>
      <c r="G21" s="125"/>
      <c r="H21" s="125"/>
      <c r="I21" s="152"/>
      <c r="J21" s="127" t="s">
        <v>296</v>
      </c>
      <c r="K21" s="128">
        <v>0</v>
      </c>
      <c r="L21" s="128">
        <v>0</v>
      </c>
      <c r="M21" s="128">
        <v>0</v>
      </c>
      <c r="N21" s="128">
        <v>8</v>
      </c>
      <c r="O21" s="128">
        <v>8</v>
      </c>
      <c r="P21" s="128">
        <v>8</v>
      </c>
      <c r="Q21" s="128">
        <v>8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9">
        <f>SUM(K21:V21)</f>
        <v>32</v>
      </c>
    </row>
    <row r="22" spans="2:23">
      <c r="B22" s="130" t="s">
        <v>293</v>
      </c>
      <c r="C22" s="149" t="s">
        <v>297</v>
      </c>
      <c r="D22" s="131">
        <v>21000</v>
      </c>
      <c r="E22" s="132">
        <f>F22+G22</f>
        <v>12500</v>
      </c>
      <c r="F22" s="133">
        <v>0</v>
      </c>
      <c r="G22" s="133">
        <v>12500</v>
      </c>
      <c r="H22" s="132">
        <f>D22-E22</f>
        <v>8500</v>
      </c>
      <c r="I22" s="134">
        <f>H22/D22</f>
        <v>0.40476190476190477</v>
      </c>
      <c r="J22" s="135" t="s">
        <v>295</v>
      </c>
      <c r="K22" s="136">
        <f>$D22/1000*K23</f>
        <v>0</v>
      </c>
      <c r="L22" s="136">
        <f t="shared" ref="L22:V22" si="12">$D22/1000*L23</f>
        <v>0</v>
      </c>
      <c r="M22" s="136">
        <f t="shared" si="12"/>
        <v>42</v>
      </c>
      <c r="N22" s="136">
        <f t="shared" si="12"/>
        <v>42</v>
      </c>
      <c r="O22" s="136">
        <f t="shared" si="12"/>
        <v>42</v>
      </c>
      <c r="P22" s="136">
        <f t="shared" si="12"/>
        <v>42</v>
      </c>
      <c r="Q22" s="136">
        <f t="shared" si="12"/>
        <v>42</v>
      </c>
      <c r="R22" s="136">
        <f t="shared" si="12"/>
        <v>42</v>
      </c>
      <c r="S22" s="136">
        <f t="shared" si="12"/>
        <v>42</v>
      </c>
      <c r="T22" s="136">
        <f t="shared" si="12"/>
        <v>42</v>
      </c>
      <c r="U22" s="136">
        <f t="shared" si="12"/>
        <v>42</v>
      </c>
      <c r="V22" s="136">
        <f t="shared" si="12"/>
        <v>42</v>
      </c>
      <c r="W22" s="136">
        <f t="shared" si="8"/>
        <v>420</v>
      </c>
    </row>
    <row r="23" spans="2:23">
      <c r="B23" s="137"/>
      <c r="C23" s="150"/>
      <c r="D23" s="138"/>
      <c r="E23" s="139"/>
      <c r="F23" s="139"/>
      <c r="G23" s="139"/>
      <c r="H23" s="139"/>
      <c r="I23" s="140"/>
      <c r="J23" s="141" t="s">
        <v>296</v>
      </c>
      <c r="K23" s="142">
        <v>0</v>
      </c>
      <c r="L23" s="142">
        <v>0</v>
      </c>
      <c r="M23" s="142">
        <v>2</v>
      </c>
      <c r="N23" s="142">
        <v>2</v>
      </c>
      <c r="O23" s="142">
        <v>2</v>
      </c>
      <c r="P23" s="142">
        <v>2</v>
      </c>
      <c r="Q23" s="142">
        <v>2</v>
      </c>
      <c r="R23" s="142">
        <v>2</v>
      </c>
      <c r="S23" s="142">
        <v>2</v>
      </c>
      <c r="T23" s="142">
        <v>2</v>
      </c>
      <c r="U23" s="142">
        <v>2</v>
      </c>
      <c r="V23" s="142">
        <v>2</v>
      </c>
      <c r="W23" s="143">
        <f>SUM(K23:V23)</f>
        <v>20</v>
      </c>
    </row>
    <row r="24" spans="2:23">
      <c r="B24" s="130" t="s">
        <v>279</v>
      </c>
      <c r="C24" s="149" t="s">
        <v>300</v>
      </c>
      <c r="D24" s="131">
        <v>98000</v>
      </c>
      <c r="E24" s="132">
        <f t="shared" ref="E24:E26" si="13">F24+G24</f>
        <v>86300</v>
      </c>
      <c r="F24" s="133">
        <v>54000</v>
      </c>
      <c r="G24" s="133">
        <v>32300</v>
      </c>
      <c r="H24" s="132">
        <f>D24-E24</f>
        <v>11700</v>
      </c>
      <c r="I24" s="134">
        <f>H24/D24</f>
        <v>0.11938775510204082</v>
      </c>
      <c r="J24" s="135" t="s">
        <v>295</v>
      </c>
      <c r="K24" s="136">
        <f>$D24/1000*K25</f>
        <v>0</v>
      </c>
      <c r="L24" s="136">
        <f t="shared" ref="L24:V24" si="14">$D24/1000*L25</f>
        <v>196</v>
      </c>
      <c r="M24" s="136">
        <f t="shared" si="14"/>
        <v>0</v>
      </c>
      <c r="N24" s="136">
        <f t="shared" si="14"/>
        <v>0</v>
      </c>
      <c r="O24" s="136">
        <f t="shared" si="14"/>
        <v>0</v>
      </c>
      <c r="P24" s="136">
        <f t="shared" si="14"/>
        <v>0</v>
      </c>
      <c r="Q24" s="136">
        <f t="shared" si="14"/>
        <v>196</v>
      </c>
      <c r="R24" s="136">
        <f t="shared" si="14"/>
        <v>0</v>
      </c>
      <c r="S24" s="136">
        <f t="shared" si="14"/>
        <v>0</v>
      </c>
      <c r="T24" s="136">
        <f t="shared" si="14"/>
        <v>196</v>
      </c>
      <c r="U24" s="136">
        <f t="shared" si="14"/>
        <v>0</v>
      </c>
      <c r="V24" s="136">
        <f t="shared" si="14"/>
        <v>0</v>
      </c>
      <c r="W24" s="136">
        <f t="shared" si="8"/>
        <v>588</v>
      </c>
    </row>
    <row r="25" spans="2:23">
      <c r="B25" s="137"/>
      <c r="C25" s="150"/>
      <c r="D25" s="138"/>
      <c r="E25" s="139"/>
      <c r="F25" s="139"/>
      <c r="G25" s="139"/>
      <c r="H25" s="139"/>
      <c r="I25" s="140"/>
      <c r="J25" s="141" t="s">
        <v>296</v>
      </c>
      <c r="K25" s="142">
        <v>0</v>
      </c>
      <c r="L25" s="142">
        <v>2</v>
      </c>
      <c r="M25" s="142">
        <v>0</v>
      </c>
      <c r="N25" s="142">
        <v>0</v>
      </c>
      <c r="O25" s="142">
        <v>0</v>
      </c>
      <c r="P25" s="142">
        <v>0</v>
      </c>
      <c r="Q25" s="142">
        <v>2</v>
      </c>
      <c r="R25" s="142">
        <v>0</v>
      </c>
      <c r="S25" s="142">
        <v>0</v>
      </c>
      <c r="T25" s="142">
        <v>2</v>
      </c>
      <c r="U25" s="142">
        <v>0</v>
      </c>
      <c r="V25" s="142">
        <v>0</v>
      </c>
      <c r="W25" s="143">
        <f>SUM(K25:V25)</f>
        <v>6</v>
      </c>
    </row>
    <row r="26" spans="2:23">
      <c r="B26" s="105" t="s">
        <v>279</v>
      </c>
      <c r="C26" s="144" t="s">
        <v>300</v>
      </c>
      <c r="D26" s="145">
        <v>17000</v>
      </c>
      <c r="E26" s="125">
        <f t="shared" si="13"/>
        <v>16800</v>
      </c>
      <c r="F26" s="146">
        <v>10500</v>
      </c>
      <c r="G26" s="146">
        <v>6300</v>
      </c>
      <c r="H26" s="125">
        <f>D26-E26</f>
        <v>200</v>
      </c>
      <c r="I26" s="126">
        <f>H26/D26</f>
        <v>1.1764705882352941E-2</v>
      </c>
      <c r="J26" s="148" t="s">
        <v>295</v>
      </c>
      <c r="K26" s="129">
        <f>$D26/1000*K27</f>
        <v>204</v>
      </c>
      <c r="L26" s="129">
        <f t="shared" ref="L26:V26" si="15">$D26/1000*L27</f>
        <v>0</v>
      </c>
      <c r="M26" s="129">
        <f t="shared" si="15"/>
        <v>0</v>
      </c>
      <c r="N26" s="129">
        <f t="shared" si="15"/>
        <v>0</v>
      </c>
      <c r="O26" s="129">
        <f t="shared" si="15"/>
        <v>0</v>
      </c>
      <c r="P26" s="129">
        <f t="shared" si="15"/>
        <v>612</v>
      </c>
      <c r="Q26" s="129">
        <f t="shared" si="15"/>
        <v>612</v>
      </c>
      <c r="R26" s="129">
        <f t="shared" si="15"/>
        <v>0</v>
      </c>
      <c r="S26" s="129">
        <f t="shared" si="15"/>
        <v>408</v>
      </c>
      <c r="T26" s="129">
        <f t="shared" si="15"/>
        <v>408</v>
      </c>
      <c r="U26" s="129">
        <f t="shared" si="15"/>
        <v>0</v>
      </c>
      <c r="V26" s="129">
        <f t="shared" si="15"/>
        <v>408</v>
      </c>
      <c r="W26" s="129">
        <f t="shared" ref="W26:W34" si="16">SUM(K26:V26)</f>
        <v>2652</v>
      </c>
    </row>
    <row r="27" spans="2:23">
      <c r="C27" s="144"/>
      <c r="D27" s="124"/>
      <c r="E27" s="125"/>
      <c r="F27" s="125"/>
      <c r="G27" s="125"/>
      <c r="H27" s="125"/>
      <c r="I27" s="126"/>
      <c r="J27" s="127" t="s">
        <v>296</v>
      </c>
      <c r="K27" s="128">
        <v>12</v>
      </c>
      <c r="L27" s="128">
        <v>0</v>
      </c>
      <c r="M27" s="128">
        <v>0</v>
      </c>
      <c r="N27" s="128">
        <v>0</v>
      </c>
      <c r="O27" s="128">
        <v>0</v>
      </c>
      <c r="P27" s="128">
        <v>36</v>
      </c>
      <c r="Q27" s="128">
        <v>36</v>
      </c>
      <c r="R27" s="128">
        <v>0</v>
      </c>
      <c r="S27" s="128">
        <v>24</v>
      </c>
      <c r="T27" s="128">
        <v>24</v>
      </c>
      <c r="U27" s="128">
        <v>0</v>
      </c>
      <c r="V27" s="128">
        <v>24</v>
      </c>
      <c r="W27" s="129">
        <f>SUM(K27:V27)</f>
        <v>156</v>
      </c>
    </row>
    <row r="28" spans="2:23">
      <c r="B28" s="130" t="s">
        <v>301</v>
      </c>
      <c r="C28" s="149" t="s">
        <v>298</v>
      </c>
      <c r="D28" s="131">
        <v>60000</v>
      </c>
      <c r="E28" s="132">
        <f>F28+G28</f>
        <v>41000</v>
      </c>
      <c r="F28" s="133">
        <v>22000</v>
      </c>
      <c r="G28" s="133">
        <v>19000</v>
      </c>
      <c r="H28" s="132">
        <f>D28-E28</f>
        <v>19000</v>
      </c>
      <c r="I28" s="134">
        <f>H28/D28</f>
        <v>0.31666666666666665</v>
      </c>
      <c r="J28" s="135" t="s">
        <v>295</v>
      </c>
      <c r="K28" s="136">
        <f>$D28/1000*K29</f>
        <v>0</v>
      </c>
      <c r="L28" s="136">
        <f t="shared" ref="L28:V28" si="17">$D28/1000*L29</f>
        <v>0</v>
      </c>
      <c r="M28" s="136">
        <f t="shared" si="17"/>
        <v>0</v>
      </c>
      <c r="N28" s="136">
        <f t="shared" si="17"/>
        <v>0</v>
      </c>
      <c r="O28" s="136">
        <f t="shared" si="17"/>
        <v>0</v>
      </c>
      <c r="P28" s="136">
        <f t="shared" si="17"/>
        <v>0</v>
      </c>
      <c r="Q28" s="136">
        <f t="shared" si="17"/>
        <v>0</v>
      </c>
      <c r="R28" s="136">
        <f t="shared" si="17"/>
        <v>240</v>
      </c>
      <c r="S28" s="136">
        <f t="shared" si="17"/>
        <v>0</v>
      </c>
      <c r="T28" s="136">
        <f t="shared" si="17"/>
        <v>0</v>
      </c>
      <c r="U28" s="136">
        <f t="shared" si="17"/>
        <v>240</v>
      </c>
      <c r="V28" s="136">
        <f t="shared" si="17"/>
        <v>0</v>
      </c>
      <c r="W28" s="136">
        <f t="shared" si="16"/>
        <v>480</v>
      </c>
    </row>
    <row r="29" spans="2:23">
      <c r="B29" s="137"/>
      <c r="C29" s="150"/>
      <c r="D29" s="138"/>
      <c r="E29" s="139"/>
      <c r="F29" s="139"/>
      <c r="G29" s="139"/>
      <c r="H29" s="139"/>
      <c r="I29" s="140"/>
      <c r="J29" s="141" t="s">
        <v>296</v>
      </c>
      <c r="K29" s="142">
        <v>0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4</v>
      </c>
      <c r="S29" s="142">
        <v>0</v>
      </c>
      <c r="T29" s="142">
        <v>0</v>
      </c>
      <c r="U29" s="142">
        <v>4</v>
      </c>
      <c r="V29" s="142">
        <v>0</v>
      </c>
      <c r="W29" s="143">
        <f>SUM(K29:V29)</f>
        <v>8</v>
      </c>
    </row>
    <row r="30" spans="2:23">
      <c r="B30" s="105" t="s">
        <v>277</v>
      </c>
      <c r="C30" s="144" t="s">
        <v>294</v>
      </c>
      <c r="D30" s="145">
        <v>124000</v>
      </c>
      <c r="E30" s="125">
        <f t="shared" ref="E30:E32" si="18">F30+G30</f>
        <v>85000</v>
      </c>
      <c r="F30" s="146">
        <v>54000</v>
      </c>
      <c r="G30" s="146">
        <v>31000</v>
      </c>
      <c r="H30" s="125">
        <f>D30-E30</f>
        <v>39000</v>
      </c>
      <c r="I30" s="126">
        <f>H30/D30</f>
        <v>0.31451612903225806</v>
      </c>
      <c r="J30" s="148" t="s">
        <v>295</v>
      </c>
      <c r="K30" s="129">
        <f>$D30/1000*K31</f>
        <v>0</v>
      </c>
      <c r="L30" s="129">
        <f t="shared" ref="L30:V30" si="19">$D30/1000*L31</f>
        <v>0</v>
      </c>
      <c r="M30" s="129">
        <f t="shared" si="19"/>
        <v>0</v>
      </c>
      <c r="N30" s="129">
        <f t="shared" si="19"/>
        <v>0</v>
      </c>
      <c r="O30" s="129">
        <f t="shared" si="19"/>
        <v>0</v>
      </c>
      <c r="P30" s="129">
        <f t="shared" si="19"/>
        <v>0</v>
      </c>
      <c r="Q30" s="129">
        <f t="shared" si="19"/>
        <v>0</v>
      </c>
      <c r="R30" s="129">
        <f t="shared" si="19"/>
        <v>0</v>
      </c>
      <c r="S30" s="129">
        <f t="shared" si="19"/>
        <v>248</v>
      </c>
      <c r="T30" s="129">
        <f t="shared" si="19"/>
        <v>0</v>
      </c>
      <c r="U30" s="129">
        <f t="shared" si="19"/>
        <v>0</v>
      </c>
      <c r="V30" s="129">
        <f t="shared" si="19"/>
        <v>248</v>
      </c>
      <c r="W30" s="129">
        <f t="shared" si="16"/>
        <v>496</v>
      </c>
    </row>
    <row r="31" spans="2:23">
      <c r="C31" s="144"/>
      <c r="D31" s="124"/>
      <c r="E31" s="125"/>
      <c r="F31" s="125"/>
      <c r="G31" s="125"/>
      <c r="H31" s="125"/>
      <c r="I31" s="126"/>
      <c r="J31" s="127" t="s">
        <v>296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2</v>
      </c>
      <c r="T31" s="128">
        <v>0</v>
      </c>
      <c r="U31" s="128">
        <v>0</v>
      </c>
      <c r="V31" s="128">
        <v>2</v>
      </c>
      <c r="W31" s="129">
        <f>SUM(K31:V31)</f>
        <v>4</v>
      </c>
    </row>
    <row r="32" spans="2:23">
      <c r="B32" s="130" t="s">
        <v>277</v>
      </c>
      <c r="C32" s="149" t="s">
        <v>300</v>
      </c>
      <c r="D32" s="131">
        <v>148700</v>
      </c>
      <c r="E32" s="132">
        <f t="shared" si="18"/>
        <v>121000</v>
      </c>
      <c r="F32" s="133">
        <v>62000</v>
      </c>
      <c r="G32" s="133">
        <v>59000</v>
      </c>
      <c r="H32" s="132">
        <f>D32-E32</f>
        <v>27700</v>
      </c>
      <c r="I32" s="134">
        <f>H32/D32</f>
        <v>0.18628110289172831</v>
      </c>
      <c r="J32" s="135" t="s">
        <v>295</v>
      </c>
      <c r="K32" s="136">
        <f>$D32/1000*K33</f>
        <v>148.69999999999999</v>
      </c>
      <c r="L32" s="136">
        <f t="shared" ref="L32:V32" si="20">$D32/1000*L33</f>
        <v>0</v>
      </c>
      <c r="M32" s="136">
        <f t="shared" si="20"/>
        <v>0</v>
      </c>
      <c r="N32" s="136">
        <f t="shared" si="20"/>
        <v>0</v>
      </c>
      <c r="O32" s="136">
        <f t="shared" si="20"/>
        <v>0</v>
      </c>
      <c r="P32" s="136">
        <f t="shared" si="20"/>
        <v>0</v>
      </c>
      <c r="Q32" s="136">
        <f t="shared" si="20"/>
        <v>0</v>
      </c>
      <c r="R32" s="136">
        <f t="shared" si="20"/>
        <v>0</v>
      </c>
      <c r="S32" s="136">
        <f t="shared" si="20"/>
        <v>0</v>
      </c>
      <c r="T32" s="136">
        <f t="shared" si="20"/>
        <v>297.39999999999998</v>
      </c>
      <c r="U32" s="136">
        <f t="shared" si="20"/>
        <v>0</v>
      </c>
      <c r="V32" s="136">
        <f t="shared" si="20"/>
        <v>0</v>
      </c>
      <c r="W32" s="136">
        <f t="shared" si="16"/>
        <v>446.09999999999997</v>
      </c>
    </row>
    <row r="33" spans="2:23">
      <c r="B33" s="137"/>
      <c r="C33" s="150"/>
      <c r="D33" s="138"/>
      <c r="E33" s="139"/>
      <c r="F33" s="139"/>
      <c r="G33" s="139"/>
      <c r="H33" s="139"/>
      <c r="I33" s="140"/>
      <c r="J33" s="141" t="s">
        <v>296</v>
      </c>
      <c r="K33" s="142">
        <v>1</v>
      </c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2</v>
      </c>
      <c r="U33" s="142">
        <v>0</v>
      </c>
      <c r="V33" s="142">
        <v>0</v>
      </c>
      <c r="W33" s="143">
        <f>SUM(K33:V33)</f>
        <v>3</v>
      </c>
    </row>
    <row r="34" spans="2:23">
      <c r="B34" s="105" t="s">
        <v>293</v>
      </c>
      <c r="C34" s="144" t="s">
        <v>298</v>
      </c>
      <c r="D34" s="153">
        <v>17000</v>
      </c>
      <c r="E34" s="125">
        <v>16000</v>
      </c>
      <c r="F34" s="146">
        <v>10400</v>
      </c>
      <c r="G34" s="146">
        <v>6400</v>
      </c>
      <c r="H34" s="125">
        <f>D34-E34</f>
        <v>1000</v>
      </c>
      <c r="I34" s="126">
        <f>H34/D34</f>
        <v>5.8823529411764705E-2</v>
      </c>
      <c r="J34" s="148" t="s">
        <v>295</v>
      </c>
      <c r="K34" s="129">
        <f>$D34/1000*K35</f>
        <v>0</v>
      </c>
      <c r="L34" s="129">
        <f t="shared" ref="L34:V34" si="21">$D34/1000*L35</f>
        <v>0</v>
      </c>
      <c r="M34" s="129">
        <f t="shared" si="21"/>
        <v>204</v>
      </c>
      <c r="N34" s="129">
        <f t="shared" si="21"/>
        <v>0</v>
      </c>
      <c r="O34" s="129">
        <f t="shared" si="21"/>
        <v>0</v>
      </c>
      <c r="P34" s="129">
        <f t="shared" si="21"/>
        <v>0</v>
      </c>
      <c r="Q34" s="129">
        <f t="shared" si="21"/>
        <v>408</v>
      </c>
      <c r="R34" s="129">
        <f t="shared" si="21"/>
        <v>408</v>
      </c>
      <c r="S34" s="129">
        <f t="shared" si="21"/>
        <v>408</v>
      </c>
      <c r="T34" s="129">
        <f t="shared" si="21"/>
        <v>204</v>
      </c>
      <c r="U34" s="129">
        <f t="shared" si="21"/>
        <v>204</v>
      </c>
      <c r="V34" s="129">
        <f t="shared" si="21"/>
        <v>204</v>
      </c>
      <c r="W34" s="129">
        <f t="shared" si="16"/>
        <v>2040</v>
      </c>
    </row>
    <row r="35" spans="2:23">
      <c r="C35" s="144"/>
      <c r="D35" s="154"/>
      <c r="E35" s="125"/>
      <c r="F35" s="125"/>
      <c r="G35" s="125"/>
      <c r="H35" s="125"/>
      <c r="I35" s="126"/>
      <c r="J35" s="127" t="s">
        <v>296</v>
      </c>
      <c r="K35" s="128">
        <v>0</v>
      </c>
      <c r="L35" s="128">
        <v>0</v>
      </c>
      <c r="M35" s="128">
        <v>12</v>
      </c>
      <c r="N35" s="128">
        <v>0</v>
      </c>
      <c r="O35" s="128">
        <v>0</v>
      </c>
      <c r="P35" s="128">
        <v>0</v>
      </c>
      <c r="Q35" s="128">
        <v>24</v>
      </c>
      <c r="R35" s="128">
        <v>24</v>
      </c>
      <c r="S35" s="128">
        <v>24</v>
      </c>
      <c r="T35" s="128">
        <v>12</v>
      </c>
      <c r="U35" s="128">
        <v>12</v>
      </c>
      <c r="V35" s="128">
        <v>12</v>
      </c>
      <c r="W35" s="129">
        <f>SUM(K35:V35)</f>
        <v>120</v>
      </c>
    </row>
    <row r="36" spans="2:23" ht="14" thickBot="1">
      <c r="B36" s="155"/>
      <c r="C36" s="155" t="s">
        <v>29</v>
      </c>
      <c r="D36" s="156"/>
      <c r="E36" s="157"/>
      <c r="F36" s="157"/>
      <c r="G36" s="157"/>
      <c r="H36" s="157"/>
      <c r="I36" s="157"/>
      <c r="J36" s="157"/>
      <c r="K36" s="158">
        <f>K10+K12+K14+K16+K18+K20+K22+K24+K26+K28+K30+K32+K34</f>
        <v>1362.26</v>
      </c>
      <c r="L36" s="158">
        <f t="shared" ref="L36:W36" si="22">L10+L12+L14+L16+L18+L20+L22+L24+L26+L28+L30+L32+L34</f>
        <v>1469.56</v>
      </c>
      <c r="M36" s="158">
        <f t="shared" si="22"/>
        <v>1731.42</v>
      </c>
      <c r="N36" s="158">
        <f t="shared" si="22"/>
        <v>1693.9</v>
      </c>
      <c r="O36" s="158">
        <f t="shared" si="22"/>
        <v>2011.42</v>
      </c>
      <c r="P36" s="158">
        <f t="shared" si="22"/>
        <v>1981.9</v>
      </c>
      <c r="Q36" s="158">
        <f t="shared" si="22"/>
        <v>2039.42</v>
      </c>
      <c r="R36" s="158">
        <f t="shared" si="22"/>
        <v>1311.42</v>
      </c>
      <c r="S36" s="158">
        <f t="shared" si="22"/>
        <v>1733.9</v>
      </c>
      <c r="T36" s="158">
        <f t="shared" si="22"/>
        <v>1511.3000000000002</v>
      </c>
      <c r="U36" s="158">
        <f t="shared" si="22"/>
        <v>849.90000000000009</v>
      </c>
      <c r="V36" s="158">
        <f t="shared" si="22"/>
        <v>1265.9000000000001</v>
      </c>
      <c r="W36" s="158">
        <f t="shared" si="22"/>
        <v>18962.3</v>
      </c>
    </row>
    <row r="38" spans="2:23">
      <c r="P38" s="159"/>
    </row>
  </sheetData>
  <mergeCells count="11">
    <mergeCell ref="G8:G9"/>
    <mergeCell ref="B8:B9"/>
    <mergeCell ref="C8:C9"/>
    <mergeCell ref="D8:D9"/>
    <mergeCell ref="E8:E9"/>
    <mergeCell ref="F8:F9"/>
    <mergeCell ref="H8:H9"/>
    <mergeCell ref="I8:I9"/>
    <mergeCell ref="J8:J9"/>
    <mergeCell ref="K8:V8"/>
    <mergeCell ref="W8:W9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9B1D4-F2CD-47CC-A40E-7A3E88F2B84F}">
  <dimension ref="B1:G83"/>
  <sheetViews>
    <sheetView workbookViewId="0"/>
  </sheetViews>
  <sheetFormatPr defaultRowHeight="18"/>
  <cols>
    <col min="1" max="1" width="1.4140625" style="2" customWidth="1"/>
    <col min="2" max="2" width="12.5" style="18" bestFit="1" customWidth="1"/>
    <col min="3" max="3" width="43.58203125" style="9" customWidth="1"/>
    <col min="4" max="6" width="10.6640625" style="3" bestFit="1" customWidth="1"/>
    <col min="7" max="7" width="28" style="2" customWidth="1"/>
    <col min="8" max="16384" width="8.6640625" style="2"/>
  </cols>
  <sheetData>
    <row r="1" spans="2:7">
      <c r="B1" s="20" t="s">
        <v>78</v>
      </c>
      <c r="D1" s="3" t="s">
        <v>167</v>
      </c>
    </row>
    <row r="2" spans="2:7">
      <c r="B2" s="18" t="s">
        <v>72</v>
      </c>
    </row>
    <row r="3" spans="2:7">
      <c r="B3" s="18" t="s">
        <v>76</v>
      </c>
    </row>
    <row r="4" spans="2:7">
      <c r="B4" s="18" t="s">
        <v>168</v>
      </c>
    </row>
    <row r="5" spans="2:7" ht="18.5" thickBot="1">
      <c r="B5" s="13" t="s">
        <v>26</v>
      </c>
      <c r="C5" s="19" t="s">
        <v>77</v>
      </c>
      <c r="D5" s="14" t="s">
        <v>74</v>
      </c>
      <c r="E5" s="14" t="s">
        <v>73</v>
      </c>
      <c r="F5" s="14" t="s">
        <v>75</v>
      </c>
      <c r="G5" s="19" t="s">
        <v>163</v>
      </c>
    </row>
    <row r="6" spans="2:7">
      <c r="B6" s="4">
        <v>44531</v>
      </c>
      <c r="C6" s="8"/>
      <c r="D6" s="1"/>
      <c r="E6" s="1"/>
      <c r="F6" s="5">
        <v>250000</v>
      </c>
      <c r="G6" s="8"/>
    </row>
    <row r="7" spans="2:7">
      <c r="B7" s="4">
        <v>44531</v>
      </c>
      <c r="C7" s="9" t="s">
        <v>130</v>
      </c>
      <c r="D7" s="5">
        <v>6000</v>
      </c>
      <c r="E7" s="5">
        <v>0</v>
      </c>
      <c r="F7" s="5">
        <f>F6-D7+E7</f>
        <v>244000</v>
      </c>
      <c r="G7" s="9" t="s">
        <v>55</v>
      </c>
    </row>
    <row r="8" spans="2:7">
      <c r="B8" s="4">
        <v>44531</v>
      </c>
      <c r="C8" s="9" t="s">
        <v>131</v>
      </c>
      <c r="D8" s="5">
        <v>1200</v>
      </c>
      <c r="E8" s="5">
        <v>0</v>
      </c>
      <c r="F8" s="5">
        <f t="shared" ref="F8:F71" si="0">F7-D8+E8</f>
        <v>242800</v>
      </c>
      <c r="G8" s="9" t="s">
        <v>139</v>
      </c>
    </row>
    <row r="9" spans="2:7">
      <c r="B9" s="4">
        <v>44531</v>
      </c>
      <c r="C9" s="9" t="s">
        <v>60</v>
      </c>
      <c r="D9" s="5">
        <v>2100</v>
      </c>
      <c r="E9" s="5">
        <v>0</v>
      </c>
      <c r="F9" s="5">
        <f t="shared" si="0"/>
        <v>240700</v>
      </c>
      <c r="G9" s="9" t="s">
        <v>59</v>
      </c>
    </row>
    <row r="10" spans="2:7">
      <c r="B10" s="4">
        <v>44531</v>
      </c>
      <c r="C10" s="10" t="s">
        <v>132</v>
      </c>
      <c r="D10" s="5">
        <v>0</v>
      </c>
      <c r="E10" s="5">
        <v>320000</v>
      </c>
      <c r="F10" s="5">
        <f t="shared" si="0"/>
        <v>560700</v>
      </c>
      <c r="G10" s="9" t="s">
        <v>45</v>
      </c>
    </row>
    <row r="11" spans="2:7">
      <c r="B11" s="4">
        <v>44531</v>
      </c>
      <c r="C11" s="9" t="s">
        <v>13</v>
      </c>
      <c r="D11" s="5">
        <v>105</v>
      </c>
      <c r="E11" s="5">
        <v>0</v>
      </c>
      <c r="F11" s="5">
        <f t="shared" si="0"/>
        <v>560595</v>
      </c>
      <c r="G11" s="9" t="s">
        <v>53</v>
      </c>
    </row>
    <row r="12" spans="2:7">
      <c r="B12" s="4">
        <v>44531</v>
      </c>
      <c r="C12" s="10" t="s">
        <v>133</v>
      </c>
      <c r="D12" s="5">
        <v>0</v>
      </c>
      <c r="E12" s="5">
        <v>4480</v>
      </c>
      <c r="F12" s="5">
        <f t="shared" si="0"/>
        <v>565075</v>
      </c>
      <c r="G12" s="9" t="s">
        <v>46</v>
      </c>
    </row>
    <row r="13" spans="2:7">
      <c r="B13" s="4">
        <v>44531</v>
      </c>
      <c r="C13" s="9" t="s">
        <v>7</v>
      </c>
      <c r="D13" s="5">
        <v>105</v>
      </c>
      <c r="E13" s="5">
        <v>0</v>
      </c>
      <c r="F13" s="5">
        <f t="shared" si="0"/>
        <v>564970</v>
      </c>
      <c r="G13" s="9"/>
    </row>
    <row r="14" spans="2:7">
      <c r="B14" s="4">
        <v>44531</v>
      </c>
      <c r="C14" s="11" t="s">
        <v>25</v>
      </c>
      <c r="D14" s="5">
        <v>25000</v>
      </c>
      <c r="E14" s="5">
        <v>0</v>
      </c>
      <c r="F14" s="5">
        <f t="shared" si="0"/>
        <v>539970</v>
      </c>
      <c r="G14" s="11" t="s">
        <v>25</v>
      </c>
    </row>
    <row r="15" spans="2:7">
      <c r="B15" s="4">
        <v>44531</v>
      </c>
      <c r="C15" s="11" t="s">
        <v>24</v>
      </c>
      <c r="D15" s="5">
        <v>12000</v>
      </c>
      <c r="E15" s="5">
        <v>0</v>
      </c>
      <c r="F15" s="5">
        <f t="shared" si="0"/>
        <v>527970</v>
      </c>
      <c r="G15" s="11" t="s">
        <v>24</v>
      </c>
    </row>
    <row r="16" spans="2:7">
      <c r="B16" s="4">
        <v>44533</v>
      </c>
      <c r="C16" s="9" t="s">
        <v>141</v>
      </c>
      <c r="D16" s="5">
        <v>5000</v>
      </c>
      <c r="E16" s="5">
        <v>0</v>
      </c>
      <c r="F16" s="5">
        <f t="shared" si="0"/>
        <v>522970</v>
      </c>
      <c r="G16" s="9" t="s">
        <v>63</v>
      </c>
    </row>
    <row r="17" spans="2:7">
      <c r="B17" s="4">
        <v>44533</v>
      </c>
      <c r="C17" s="9" t="s">
        <v>142</v>
      </c>
      <c r="D17" s="5">
        <v>1500</v>
      </c>
      <c r="E17" s="5"/>
      <c r="F17" s="5">
        <f t="shared" si="0"/>
        <v>521470</v>
      </c>
      <c r="G17" s="9" t="s">
        <v>62</v>
      </c>
    </row>
    <row r="18" spans="2:7">
      <c r="B18" s="4">
        <v>44533</v>
      </c>
      <c r="C18" s="9" t="s">
        <v>64</v>
      </c>
      <c r="D18" s="5">
        <v>300000</v>
      </c>
      <c r="E18" s="5">
        <v>0</v>
      </c>
      <c r="F18" s="5">
        <f t="shared" si="0"/>
        <v>221470</v>
      </c>
      <c r="G18" s="9" t="s">
        <v>64</v>
      </c>
    </row>
    <row r="19" spans="2:7">
      <c r="B19" s="4">
        <v>44536</v>
      </c>
      <c r="C19" s="9" t="s">
        <v>143</v>
      </c>
      <c r="D19" s="5">
        <v>6000</v>
      </c>
      <c r="E19" s="5">
        <v>0</v>
      </c>
      <c r="F19" s="5">
        <f t="shared" si="0"/>
        <v>215470</v>
      </c>
      <c r="G19" s="9" t="s">
        <v>55</v>
      </c>
    </row>
    <row r="20" spans="2:7">
      <c r="B20" s="4">
        <v>44536</v>
      </c>
      <c r="C20" s="9" t="s">
        <v>144</v>
      </c>
      <c r="D20" s="5">
        <v>12000</v>
      </c>
      <c r="E20" s="5">
        <v>0</v>
      </c>
      <c r="F20" s="5">
        <f t="shared" si="0"/>
        <v>203470</v>
      </c>
      <c r="G20" s="9" t="s">
        <v>61</v>
      </c>
    </row>
    <row r="21" spans="2:7">
      <c r="B21" s="4">
        <v>44536</v>
      </c>
      <c r="C21" s="10" t="s">
        <v>134</v>
      </c>
      <c r="D21" s="5">
        <v>0</v>
      </c>
      <c r="E21" s="5">
        <v>76800</v>
      </c>
      <c r="F21" s="5">
        <f t="shared" si="0"/>
        <v>280270</v>
      </c>
      <c r="G21" s="9" t="s">
        <v>49</v>
      </c>
    </row>
    <row r="22" spans="2:7">
      <c r="B22" s="4">
        <v>44536</v>
      </c>
      <c r="C22" s="9" t="s">
        <v>1</v>
      </c>
      <c r="D22" s="5">
        <v>105</v>
      </c>
      <c r="E22" s="5">
        <v>0</v>
      </c>
      <c r="F22" s="5">
        <f t="shared" si="0"/>
        <v>280165</v>
      </c>
      <c r="G22" s="9"/>
    </row>
    <row r="23" spans="2:7">
      <c r="B23" s="4">
        <v>44536</v>
      </c>
      <c r="C23" s="10" t="s">
        <v>135</v>
      </c>
      <c r="D23" s="5">
        <v>0</v>
      </c>
      <c r="E23" s="5">
        <v>224000</v>
      </c>
      <c r="F23" s="5">
        <f t="shared" si="0"/>
        <v>504165</v>
      </c>
      <c r="G23" s="9" t="s">
        <v>48</v>
      </c>
    </row>
    <row r="24" spans="2:7">
      <c r="B24" s="4">
        <v>44536</v>
      </c>
      <c r="C24" s="9" t="s">
        <v>16</v>
      </c>
      <c r="D24" s="5">
        <v>105</v>
      </c>
      <c r="E24" s="5">
        <v>0</v>
      </c>
      <c r="F24" s="5">
        <f t="shared" si="0"/>
        <v>504060</v>
      </c>
      <c r="G24" s="9"/>
    </row>
    <row r="25" spans="2:7">
      <c r="B25" s="4">
        <v>44536</v>
      </c>
      <c r="C25" s="11" t="s">
        <v>8</v>
      </c>
      <c r="D25" s="5">
        <v>55000</v>
      </c>
      <c r="E25" s="5">
        <v>0</v>
      </c>
      <c r="F25" s="5">
        <f t="shared" si="0"/>
        <v>449060</v>
      </c>
      <c r="G25" s="11" t="s">
        <v>8</v>
      </c>
    </row>
    <row r="26" spans="2:7">
      <c r="B26" s="4">
        <v>44536</v>
      </c>
      <c r="C26" s="11" t="s">
        <v>54</v>
      </c>
      <c r="D26" s="5">
        <v>43000</v>
      </c>
      <c r="E26" s="5">
        <v>0</v>
      </c>
      <c r="F26" s="5">
        <f t="shared" si="0"/>
        <v>406060</v>
      </c>
      <c r="G26" s="11" t="s">
        <v>54</v>
      </c>
    </row>
    <row r="27" spans="2:7">
      <c r="B27" s="4">
        <v>44539</v>
      </c>
      <c r="C27" s="9" t="s">
        <v>67</v>
      </c>
      <c r="D27" s="5">
        <v>160000</v>
      </c>
      <c r="E27" s="5">
        <v>0</v>
      </c>
      <c r="F27" s="5">
        <f t="shared" si="0"/>
        <v>246060</v>
      </c>
      <c r="G27" s="9" t="s">
        <v>67</v>
      </c>
    </row>
    <row r="28" spans="2:7">
      <c r="B28" s="4">
        <v>44540</v>
      </c>
      <c r="C28" s="9" t="s">
        <v>145</v>
      </c>
      <c r="D28" s="5">
        <v>8000</v>
      </c>
      <c r="E28" s="5">
        <v>0</v>
      </c>
      <c r="F28" s="5">
        <f t="shared" si="0"/>
        <v>238060</v>
      </c>
      <c r="G28" s="9" t="s">
        <v>55</v>
      </c>
    </row>
    <row r="29" spans="2:7">
      <c r="B29" s="4">
        <v>44540</v>
      </c>
      <c r="C29" s="9" t="s">
        <v>146</v>
      </c>
      <c r="D29" s="5">
        <v>30000</v>
      </c>
      <c r="E29" s="5">
        <v>0</v>
      </c>
      <c r="F29" s="5">
        <f t="shared" si="0"/>
        <v>208060</v>
      </c>
      <c r="G29" s="9" t="s">
        <v>140</v>
      </c>
    </row>
    <row r="30" spans="2:7">
      <c r="B30" s="4">
        <v>44544</v>
      </c>
      <c r="C30" s="12" t="s">
        <v>58</v>
      </c>
      <c r="D30" s="5">
        <v>13000</v>
      </c>
      <c r="E30" s="5">
        <v>0</v>
      </c>
      <c r="F30" s="5">
        <f t="shared" si="0"/>
        <v>195060</v>
      </c>
      <c r="G30" s="12" t="s">
        <v>58</v>
      </c>
    </row>
    <row r="31" spans="2:7">
      <c r="B31" s="4">
        <v>44544</v>
      </c>
      <c r="C31" s="9" t="s">
        <v>65</v>
      </c>
      <c r="D31" s="5">
        <v>92000</v>
      </c>
      <c r="E31" s="5">
        <v>0</v>
      </c>
      <c r="F31" s="5">
        <f t="shared" si="0"/>
        <v>103060</v>
      </c>
      <c r="G31" s="9" t="s">
        <v>66</v>
      </c>
    </row>
    <row r="32" spans="2:7">
      <c r="B32" s="4">
        <v>44544</v>
      </c>
      <c r="C32" s="10" t="s">
        <v>69</v>
      </c>
      <c r="D32" s="5">
        <v>0</v>
      </c>
      <c r="E32" s="5">
        <v>332800</v>
      </c>
      <c r="F32" s="5">
        <f t="shared" si="0"/>
        <v>435860</v>
      </c>
      <c r="G32" s="9" t="s">
        <v>48</v>
      </c>
    </row>
    <row r="33" spans="2:7">
      <c r="B33" s="4">
        <v>44544</v>
      </c>
      <c r="C33" s="9" t="s">
        <v>16</v>
      </c>
      <c r="D33" s="5">
        <v>105</v>
      </c>
      <c r="E33" s="5">
        <v>0</v>
      </c>
      <c r="F33" s="5">
        <f t="shared" si="0"/>
        <v>435755</v>
      </c>
      <c r="G33" s="9"/>
    </row>
    <row r="34" spans="2:7">
      <c r="B34" s="4">
        <v>44544</v>
      </c>
      <c r="C34" s="10" t="s">
        <v>70</v>
      </c>
      <c r="D34" s="5">
        <v>0</v>
      </c>
      <c r="E34" s="5">
        <v>25600</v>
      </c>
      <c r="F34" s="5">
        <f t="shared" si="0"/>
        <v>461355</v>
      </c>
      <c r="G34" s="9" t="s">
        <v>46</v>
      </c>
    </row>
    <row r="35" spans="2:7">
      <c r="B35" s="4">
        <v>44544</v>
      </c>
      <c r="C35" s="9" t="s">
        <v>2</v>
      </c>
      <c r="D35" s="5">
        <v>105</v>
      </c>
      <c r="E35" s="5">
        <v>0</v>
      </c>
      <c r="F35" s="5">
        <f t="shared" si="0"/>
        <v>461250</v>
      </c>
      <c r="G35" s="9"/>
    </row>
    <row r="36" spans="2:7">
      <c r="B36" s="4">
        <v>44545</v>
      </c>
      <c r="C36" s="9" t="s">
        <v>147</v>
      </c>
      <c r="D36" s="5">
        <v>28650</v>
      </c>
      <c r="E36" s="5">
        <v>0</v>
      </c>
      <c r="F36" s="5">
        <f t="shared" si="0"/>
        <v>432600</v>
      </c>
      <c r="G36" s="11" t="s">
        <v>25</v>
      </c>
    </row>
    <row r="37" spans="2:7">
      <c r="B37" s="4">
        <v>44545</v>
      </c>
      <c r="C37" s="9" t="s">
        <v>148</v>
      </c>
      <c r="D37" s="5">
        <v>650</v>
      </c>
      <c r="E37" s="5">
        <v>0</v>
      </c>
      <c r="F37" s="5">
        <f t="shared" si="0"/>
        <v>431950</v>
      </c>
      <c r="G37" s="9" t="s">
        <v>55</v>
      </c>
    </row>
    <row r="38" spans="2:7">
      <c r="B38" s="4">
        <v>44545</v>
      </c>
      <c r="C38" s="9" t="s">
        <v>149</v>
      </c>
      <c r="D38" s="5">
        <v>23000</v>
      </c>
      <c r="E38" s="5">
        <v>0</v>
      </c>
      <c r="F38" s="5">
        <f t="shared" si="0"/>
        <v>408950</v>
      </c>
      <c r="G38" s="9" t="s">
        <v>138</v>
      </c>
    </row>
    <row r="39" spans="2:7">
      <c r="B39" s="4">
        <v>44545</v>
      </c>
      <c r="C39" s="9" t="s">
        <v>150</v>
      </c>
      <c r="D39" s="5">
        <v>5300</v>
      </c>
      <c r="E39" s="5">
        <v>0</v>
      </c>
      <c r="F39" s="5">
        <f t="shared" si="0"/>
        <v>403650</v>
      </c>
      <c r="G39" s="11" t="s">
        <v>54</v>
      </c>
    </row>
    <row r="40" spans="2:7">
      <c r="B40" s="4">
        <v>44545</v>
      </c>
      <c r="C40" s="10" t="s">
        <v>151</v>
      </c>
      <c r="D40" s="5">
        <v>0</v>
      </c>
      <c r="E40" s="5">
        <v>236800</v>
      </c>
      <c r="F40" s="5">
        <f t="shared" si="0"/>
        <v>640450</v>
      </c>
      <c r="G40" s="9" t="s">
        <v>50</v>
      </c>
    </row>
    <row r="41" spans="2:7">
      <c r="B41" s="4">
        <v>44545</v>
      </c>
      <c r="C41" s="9" t="s">
        <v>3</v>
      </c>
      <c r="D41" s="5">
        <v>105</v>
      </c>
      <c r="E41" s="5">
        <v>0</v>
      </c>
      <c r="F41" s="5">
        <f t="shared" si="0"/>
        <v>640345</v>
      </c>
      <c r="G41" s="9"/>
    </row>
    <row r="42" spans="2:7">
      <c r="B42" s="4">
        <v>44545</v>
      </c>
      <c r="C42" s="9" t="s">
        <v>67</v>
      </c>
      <c r="D42" s="5">
        <v>55000</v>
      </c>
      <c r="E42" s="5">
        <v>0</v>
      </c>
      <c r="F42" s="5">
        <f t="shared" si="0"/>
        <v>585345</v>
      </c>
      <c r="G42" s="9" t="s">
        <v>67</v>
      </c>
    </row>
    <row r="43" spans="2:7">
      <c r="B43" s="4">
        <v>44545</v>
      </c>
      <c r="C43" s="9" t="s">
        <v>68</v>
      </c>
      <c r="D43" s="5">
        <v>114000</v>
      </c>
      <c r="E43" s="5">
        <v>0</v>
      </c>
      <c r="F43" s="5">
        <f t="shared" si="0"/>
        <v>471345</v>
      </c>
      <c r="G43" s="9" t="s">
        <v>68</v>
      </c>
    </row>
    <row r="44" spans="2:7">
      <c r="B44" s="4">
        <v>44545</v>
      </c>
      <c r="C44" s="11" t="s">
        <v>9</v>
      </c>
      <c r="D44" s="5">
        <v>14815</v>
      </c>
      <c r="E44" s="5">
        <v>0</v>
      </c>
      <c r="F44" s="5">
        <f t="shared" si="0"/>
        <v>456530</v>
      </c>
      <c r="G44" s="11" t="s">
        <v>9</v>
      </c>
    </row>
    <row r="45" spans="2:7">
      <c r="B45" s="4">
        <v>44545</v>
      </c>
      <c r="C45" s="11" t="s">
        <v>10</v>
      </c>
      <c r="D45" s="5">
        <v>12000</v>
      </c>
      <c r="E45" s="5">
        <v>0</v>
      </c>
      <c r="F45" s="5">
        <f t="shared" si="0"/>
        <v>444530</v>
      </c>
      <c r="G45" s="11" t="s">
        <v>158</v>
      </c>
    </row>
    <row r="46" spans="2:7">
      <c r="B46" s="4">
        <v>44546</v>
      </c>
      <c r="C46" s="9" t="s">
        <v>18</v>
      </c>
      <c r="D46" s="5">
        <v>4500</v>
      </c>
      <c r="E46" s="5">
        <v>0</v>
      </c>
      <c r="F46" s="5">
        <f t="shared" si="0"/>
        <v>440030</v>
      </c>
      <c r="G46" s="9" t="s">
        <v>55</v>
      </c>
    </row>
    <row r="47" spans="2:7">
      <c r="B47" s="4">
        <v>44546</v>
      </c>
      <c r="C47" s="10" t="s">
        <v>152</v>
      </c>
      <c r="D47" s="5">
        <v>0</v>
      </c>
      <c r="E47" s="5">
        <v>192000</v>
      </c>
      <c r="F47" s="5">
        <f t="shared" si="0"/>
        <v>632030</v>
      </c>
      <c r="G47" s="9" t="s">
        <v>48</v>
      </c>
    </row>
    <row r="48" spans="2:7">
      <c r="B48" s="4">
        <v>44546</v>
      </c>
      <c r="C48" s="9" t="s">
        <v>17</v>
      </c>
      <c r="D48" s="5">
        <v>105</v>
      </c>
      <c r="E48" s="5">
        <v>0</v>
      </c>
      <c r="F48" s="5">
        <f t="shared" si="0"/>
        <v>631925</v>
      </c>
      <c r="G48" s="9"/>
    </row>
    <row r="49" spans="2:7">
      <c r="B49" s="4">
        <v>44546</v>
      </c>
      <c r="C49" s="11" t="s">
        <v>54</v>
      </c>
      <c r="D49" s="5">
        <v>30000</v>
      </c>
      <c r="E49" s="5">
        <v>0</v>
      </c>
      <c r="F49" s="5">
        <f t="shared" si="0"/>
        <v>601925</v>
      </c>
      <c r="G49" s="11" t="s">
        <v>54</v>
      </c>
    </row>
    <row r="50" spans="2:7">
      <c r="B50" s="4">
        <v>44550</v>
      </c>
      <c r="C50" s="12" t="s">
        <v>58</v>
      </c>
      <c r="D50" s="5">
        <v>7000</v>
      </c>
      <c r="E50" s="5">
        <v>0</v>
      </c>
      <c r="F50" s="5">
        <f t="shared" si="0"/>
        <v>594925</v>
      </c>
      <c r="G50" s="12" t="s">
        <v>58</v>
      </c>
    </row>
    <row r="51" spans="2:7">
      <c r="B51" s="4">
        <v>44550</v>
      </c>
      <c r="C51" s="9" t="s">
        <v>19</v>
      </c>
      <c r="D51" s="5">
        <v>12000</v>
      </c>
      <c r="E51" s="5">
        <v>0</v>
      </c>
      <c r="F51" s="5">
        <f t="shared" si="0"/>
        <v>582925</v>
      </c>
      <c r="G51" s="9" t="s">
        <v>55</v>
      </c>
    </row>
    <row r="52" spans="2:7">
      <c r="B52" s="4">
        <v>44550</v>
      </c>
      <c r="C52" s="9" t="s">
        <v>20</v>
      </c>
      <c r="D52" s="5">
        <v>3500</v>
      </c>
      <c r="E52" s="5">
        <v>0</v>
      </c>
      <c r="F52" s="5">
        <f t="shared" si="0"/>
        <v>579425</v>
      </c>
      <c r="G52" s="9" t="s">
        <v>137</v>
      </c>
    </row>
    <row r="53" spans="2:7">
      <c r="B53" s="4">
        <v>44550</v>
      </c>
      <c r="C53" s="9" t="s">
        <v>66</v>
      </c>
      <c r="D53" s="5">
        <v>300000</v>
      </c>
      <c r="E53" s="5">
        <v>0</v>
      </c>
      <c r="F53" s="5">
        <f t="shared" si="0"/>
        <v>279425</v>
      </c>
      <c r="G53" s="9" t="s">
        <v>66</v>
      </c>
    </row>
    <row r="54" spans="2:7">
      <c r="B54" s="7">
        <v>44551</v>
      </c>
      <c r="C54" s="10" t="s">
        <v>71</v>
      </c>
      <c r="D54" s="5">
        <v>0</v>
      </c>
      <c r="E54" s="5">
        <v>16000</v>
      </c>
      <c r="F54" s="5">
        <f t="shared" si="0"/>
        <v>295425</v>
      </c>
      <c r="G54" s="9" t="s">
        <v>46</v>
      </c>
    </row>
    <row r="55" spans="2:7">
      <c r="B55" s="7">
        <v>44551</v>
      </c>
      <c r="C55" s="9" t="s">
        <v>4</v>
      </c>
      <c r="D55" s="5">
        <v>105</v>
      </c>
      <c r="E55" s="5">
        <v>0</v>
      </c>
      <c r="F55" s="5">
        <f t="shared" si="0"/>
        <v>295320</v>
      </c>
      <c r="G55" s="9"/>
    </row>
    <row r="56" spans="2:7">
      <c r="B56" s="7">
        <v>44551</v>
      </c>
      <c r="C56" s="9" t="s">
        <v>67</v>
      </c>
      <c r="D56" s="5">
        <v>250000</v>
      </c>
      <c r="E56" s="5">
        <v>0</v>
      </c>
      <c r="F56" s="5">
        <f t="shared" si="0"/>
        <v>45320</v>
      </c>
      <c r="G56" s="9" t="s">
        <v>67</v>
      </c>
    </row>
    <row r="57" spans="2:7">
      <c r="B57" s="4">
        <v>44551</v>
      </c>
      <c r="C57" s="11" t="s">
        <v>56</v>
      </c>
      <c r="D57" s="5">
        <v>30000</v>
      </c>
      <c r="E57" s="5">
        <v>0</v>
      </c>
      <c r="F57" s="5">
        <f t="shared" si="0"/>
        <v>15320</v>
      </c>
      <c r="G57" s="11" t="s">
        <v>56</v>
      </c>
    </row>
    <row r="58" spans="2:7">
      <c r="B58" s="7">
        <v>44552</v>
      </c>
      <c r="C58" s="10" t="s">
        <v>136</v>
      </c>
      <c r="D58" s="5">
        <v>0</v>
      </c>
      <c r="E58" s="5">
        <v>288000</v>
      </c>
      <c r="F58" s="5">
        <f t="shared" si="0"/>
        <v>303320</v>
      </c>
      <c r="G58" s="9" t="s">
        <v>50</v>
      </c>
    </row>
    <row r="59" spans="2:7">
      <c r="B59" s="7">
        <v>44552</v>
      </c>
      <c r="C59" s="9" t="s">
        <v>3</v>
      </c>
      <c r="D59" s="5">
        <v>105</v>
      </c>
      <c r="E59" s="5">
        <v>0</v>
      </c>
      <c r="F59" s="5">
        <f t="shared" si="0"/>
        <v>303215</v>
      </c>
      <c r="G59" s="9"/>
    </row>
    <row r="60" spans="2:7">
      <c r="B60" s="4">
        <v>44553</v>
      </c>
      <c r="C60" s="9" t="s">
        <v>57</v>
      </c>
      <c r="D60" s="5">
        <v>24000</v>
      </c>
      <c r="E60" s="5">
        <v>0</v>
      </c>
      <c r="F60" s="5">
        <f t="shared" si="0"/>
        <v>279215</v>
      </c>
      <c r="G60" s="9" t="s">
        <v>55</v>
      </c>
    </row>
    <row r="61" spans="2:7">
      <c r="B61" s="4">
        <v>44553</v>
      </c>
      <c r="C61" s="9" t="s">
        <v>21</v>
      </c>
      <c r="D61" s="5">
        <v>1200</v>
      </c>
      <c r="E61" s="5">
        <v>0</v>
      </c>
      <c r="F61" s="5">
        <f t="shared" si="0"/>
        <v>278015</v>
      </c>
      <c r="G61" s="9" t="s">
        <v>62</v>
      </c>
    </row>
    <row r="62" spans="2:7">
      <c r="B62" s="4">
        <v>44553</v>
      </c>
      <c r="C62" s="11" t="s">
        <v>56</v>
      </c>
      <c r="D62" s="5">
        <v>23000</v>
      </c>
      <c r="E62" s="5">
        <v>0</v>
      </c>
      <c r="F62" s="5">
        <f t="shared" si="0"/>
        <v>255015</v>
      </c>
      <c r="G62" s="11" t="s">
        <v>56</v>
      </c>
    </row>
    <row r="63" spans="2:7">
      <c r="B63" s="4">
        <v>44558</v>
      </c>
      <c r="C63" s="12" t="s">
        <v>58</v>
      </c>
      <c r="D63" s="5">
        <v>11000</v>
      </c>
      <c r="E63" s="5">
        <v>0</v>
      </c>
      <c r="F63" s="5">
        <f t="shared" si="0"/>
        <v>244015</v>
      </c>
      <c r="G63" s="12" t="s">
        <v>58</v>
      </c>
    </row>
    <row r="64" spans="2:7" customFormat="1">
      <c r="B64" s="4">
        <v>44558</v>
      </c>
      <c r="C64" s="9" t="s">
        <v>22</v>
      </c>
      <c r="D64" s="5">
        <v>735</v>
      </c>
      <c r="E64" s="5">
        <v>0</v>
      </c>
      <c r="F64" s="5">
        <f t="shared" si="0"/>
        <v>243280</v>
      </c>
      <c r="G64" s="9" t="s">
        <v>139</v>
      </c>
    </row>
    <row r="65" spans="2:7">
      <c r="B65" s="4">
        <v>44558</v>
      </c>
      <c r="C65" s="10" t="s">
        <v>164</v>
      </c>
      <c r="D65" s="5">
        <v>0</v>
      </c>
      <c r="E65" s="5">
        <v>620800</v>
      </c>
      <c r="F65" s="5">
        <f t="shared" si="0"/>
        <v>864080</v>
      </c>
      <c r="G65" s="9" t="s">
        <v>48</v>
      </c>
    </row>
    <row r="66" spans="2:7">
      <c r="B66" s="4">
        <v>44558</v>
      </c>
      <c r="C66" s="9" t="s">
        <v>165</v>
      </c>
      <c r="D66" s="5">
        <v>105</v>
      </c>
      <c r="E66" s="5">
        <v>0</v>
      </c>
      <c r="F66" s="5">
        <f t="shared" si="0"/>
        <v>863975</v>
      </c>
      <c r="G66" s="9"/>
    </row>
    <row r="67" spans="2:7">
      <c r="B67" s="4">
        <v>44558</v>
      </c>
      <c r="C67" s="9" t="s">
        <v>67</v>
      </c>
      <c r="D67" s="5">
        <v>700000</v>
      </c>
      <c r="E67" s="5">
        <v>0</v>
      </c>
      <c r="F67" s="5">
        <f t="shared" si="0"/>
        <v>163975</v>
      </c>
      <c r="G67" s="9" t="s">
        <v>67</v>
      </c>
    </row>
    <row r="68" spans="2:7" customFormat="1">
      <c r="B68" s="4">
        <v>44559</v>
      </c>
      <c r="C68" s="9" t="s">
        <v>5</v>
      </c>
      <c r="D68" s="5">
        <v>3600</v>
      </c>
      <c r="E68" s="5">
        <v>0</v>
      </c>
      <c r="F68" s="5">
        <f t="shared" si="0"/>
        <v>160375</v>
      </c>
      <c r="G68" s="12" t="s">
        <v>58</v>
      </c>
    </row>
    <row r="69" spans="2:7" customFormat="1">
      <c r="B69" s="4">
        <v>44559</v>
      </c>
      <c r="C69" s="9" t="s">
        <v>6</v>
      </c>
      <c r="D69" s="5">
        <v>5900</v>
      </c>
      <c r="E69" s="5">
        <v>0</v>
      </c>
      <c r="F69" s="5">
        <f t="shared" si="0"/>
        <v>154475</v>
      </c>
      <c r="G69" s="11" t="s">
        <v>25</v>
      </c>
    </row>
    <row r="70" spans="2:7" customFormat="1">
      <c r="B70" s="4">
        <v>44559</v>
      </c>
      <c r="C70" s="9" t="s">
        <v>66</v>
      </c>
      <c r="D70" s="5">
        <v>14000</v>
      </c>
      <c r="E70" s="5">
        <v>0</v>
      </c>
      <c r="F70" s="5">
        <f t="shared" si="0"/>
        <v>140475</v>
      </c>
      <c r="G70" s="9" t="s">
        <v>66</v>
      </c>
    </row>
    <row r="71" spans="2:7" customFormat="1">
      <c r="B71" s="4">
        <v>44560</v>
      </c>
      <c r="C71" s="11" t="s">
        <v>25</v>
      </c>
      <c r="D71" s="5">
        <v>52000</v>
      </c>
      <c r="E71" s="5">
        <v>0</v>
      </c>
      <c r="F71" s="5">
        <f t="shared" si="0"/>
        <v>88475</v>
      </c>
      <c r="G71" s="11" t="s">
        <v>25</v>
      </c>
    </row>
    <row r="72" spans="2:7" customFormat="1">
      <c r="B72" s="4">
        <v>44561</v>
      </c>
      <c r="C72" s="10" t="s">
        <v>153</v>
      </c>
      <c r="D72" s="5">
        <v>0</v>
      </c>
      <c r="E72" s="5">
        <v>680000</v>
      </c>
      <c r="F72" s="5">
        <f t="shared" ref="F72:F83" si="1">F71-D72+E72</f>
        <v>768475</v>
      </c>
      <c r="G72" s="9" t="s">
        <v>45</v>
      </c>
    </row>
    <row r="73" spans="2:7" customFormat="1">
      <c r="B73" s="4">
        <v>44561</v>
      </c>
      <c r="C73" s="9" t="s">
        <v>14</v>
      </c>
      <c r="D73" s="5">
        <v>105</v>
      </c>
      <c r="E73" s="5">
        <v>0</v>
      </c>
      <c r="F73" s="5">
        <f t="shared" si="1"/>
        <v>768370</v>
      </c>
      <c r="G73" s="9"/>
    </row>
    <row r="74" spans="2:7" customFormat="1">
      <c r="B74" s="4">
        <v>44561</v>
      </c>
      <c r="C74" s="9" t="s">
        <v>154</v>
      </c>
      <c r="D74" s="5">
        <v>30000</v>
      </c>
      <c r="E74" s="5">
        <v>0</v>
      </c>
      <c r="F74" s="5">
        <f t="shared" si="1"/>
        <v>738370</v>
      </c>
      <c r="G74" s="9" t="s">
        <v>51</v>
      </c>
    </row>
    <row r="75" spans="2:7" customFormat="1">
      <c r="B75" s="4">
        <v>44561</v>
      </c>
      <c r="C75" s="9" t="s">
        <v>155</v>
      </c>
      <c r="D75" s="5">
        <v>25000</v>
      </c>
      <c r="E75" s="5">
        <v>0</v>
      </c>
      <c r="F75" s="5">
        <f t="shared" si="1"/>
        <v>713370</v>
      </c>
      <c r="G75" s="9" t="s">
        <v>52</v>
      </c>
    </row>
    <row r="76" spans="2:7" customFormat="1">
      <c r="B76" s="4">
        <v>44561</v>
      </c>
      <c r="C76" s="9" t="s">
        <v>23</v>
      </c>
      <c r="D76" s="5">
        <v>20000</v>
      </c>
      <c r="E76" s="5">
        <v>0</v>
      </c>
      <c r="F76" s="5">
        <f t="shared" si="1"/>
        <v>693370</v>
      </c>
      <c r="G76" s="9" t="s">
        <v>12</v>
      </c>
    </row>
    <row r="77" spans="2:7" customFormat="1">
      <c r="B77" s="4">
        <v>44561</v>
      </c>
      <c r="C77" s="9" t="s">
        <v>23</v>
      </c>
      <c r="D77" s="5">
        <v>20000</v>
      </c>
      <c r="E77" s="5">
        <v>0</v>
      </c>
      <c r="F77" s="5">
        <f t="shared" si="1"/>
        <v>673370</v>
      </c>
      <c r="G77" s="11" t="s">
        <v>159</v>
      </c>
    </row>
    <row r="78" spans="2:7" customFormat="1">
      <c r="B78" s="4">
        <v>44561</v>
      </c>
      <c r="C78" s="9" t="s">
        <v>23</v>
      </c>
      <c r="D78" s="5">
        <v>5000</v>
      </c>
      <c r="E78" s="5">
        <v>0</v>
      </c>
      <c r="F78" s="5">
        <f t="shared" si="1"/>
        <v>668370</v>
      </c>
      <c r="G78" s="9" t="s">
        <v>160</v>
      </c>
    </row>
    <row r="79" spans="2:7" customFormat="1">
      <c r="B79" s="4">
        <v>44561</v>
      </c>
      <c r="C79" s="10" t="s">
        <v>156</v>
      </c>
      <c r="D79" s="5">
        <v>0</v>
      </c>
      <c r="E79" s="5">
        <v>192000</v>
      </c>
      <c r="F79" s="5">
        <f t="shared" si="1"/>
        <v>860370</v>
      </c>
      <c r="G79" s="10" t="s">
        <v>46</v>
      </c>
    </row>
    <row r="80" spans="2:7" customFormat="1">
      <c r="B80" s="4">
        <v>44561</v>
      </c>
      <c r="C80" s="9" t="s">
        <v>15</v>
      </c>
      <c r="D80" s="5">
        <v>105</v>
      </c>
      <c r="E80" s="5">
        <v>0</v>
      </c>
      <c r="F80" s="5">
        <f t="shared" si="1"/>
        <v>860265</v>
      </c>
      <c r="G80" s="9"/>
    </row>
    <row r="81" spans="2:7">
      <c r="B81" s="4">
        <v>44561</v>
      </c>
      <c r="C81" s="9" t="s">
        <v>67</v>
      </c>
      <c r="D81" s="5">
        <v>800000</v>
      </c>
      <c r="E81" s="5">
        <v>0</v>
      </c>
      <c r="F81" s="5">
        <f t="shared" si="1"/>
        <v>60265</v>
      </c>
      <c r="G81" s="9" t="s">
        <v>67</v>
      </c>
    </row>
    <row r="82" spans="2:7">
      <c r="B82" s="4">
        <v>44561</v>
      </c>
      <c r="C82" s="10" t="s">
        <v>157</v>
      </c>
      <c r="D82" s="5">
        <v>0</v>
      </c>
      <c r="E82" s="5">
        <v>180000</v>
      </c>
      <c r="F82" s="5">
        <f t="shared" si="1"/>
        <v>240265</v>
      </c>
      <c r="G82" s="9" t="s">
        <v>48</v>
      </c>
    </row>
    <row r="83" spans="2:7">
      <c r="B83" s="4">
        <v>44561</v>
      </c>
      <c r="C83" s="9" t="s">
        <v>166</v>
      </c>
      <c r="D83" s="5">
        <v>265</v>
      </c>
      <c r="E83" s="5">
        <v>0</v>
      </c>
      <c r="F83" s="5">
        <f t="shared" si="1"/>
        <v>240000</v>
      </c>
      <c r="G83" s="9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6A6E-CD99-4506-A7BB-BF8DA438D846}">
  <dimension ref="B1:I83"/>
  <sheetViews>
    <sheetView workbookViewId="0"/>
  </sheetViews>
  <sheetFormatPr defaultRowHeight="18"/>
  <cols>
    <col min="1" max="1" width="1.4140625" style="2" customWidth="1"/>
    <col min="2" max="2" width="12.5" style="18" bestFit="1" customWidth="1"/>
    <col min="3" max="3" width="43.58203125" style="9" customWidth="1"/>
    <col min="4" max="6" width="10.6640625" style="3" bestFit="1" customWidth="1"/>
    <col min="7" max="7" width="8.08203125" style="2" customWidth="1"/>
    <col min="8" max="8" width="20.4140625" style="2" customWidth="1"/>
    <col min="9" max="9" width="28" style="2" customWidth="1"/>
    <col min="10" max="16384" width="8.6640625" style="2"/>
  </cols>
  <sheetData>
    <row r="1" spans="2:9">
      <c r="B1" s="20" t="s">
        <v>78</v>
      </c>
      <c r="D1" s="3" t="s">
        <v>167</v>
      </c>
    </row>
    <row r="2" spans="2:9">
      <c r="B2" s="18" t="s">
        <v>72</v>
      </c>
      <c r="G2" s="23"/>
      <c r="H2" s="23"/>
    </row>
    <row r="3" spans="2:9">
      <c r="B3" s="18" t="s">
        <v>76</v>
      </c>
      <c r="G3" s="23"/>
      <c r="H3" s="23"/>
    </row>
    <row r="4" spans="2:9">
      <c r="B4" s="18" t="s">
        <v>168</v>
      </c>
      <c r="G4" s="23"/>
      <c r="H4" s="23"/>
    </row>
    <row r="5" spans="2:9" ht="18.5" thickBot="1">
      <c r="B5" s="13" t="s">
        <v>26</v>
      </c>
      <c r="C5" s="19" t="s">
        <v>77</v>
      </c>
      <c r="D5" s="14" t="s">
        <v>74</v>
      </c>
      <c r="E5" s="14" t="s">
        <v>73</v>
      </c>
      <c r="F5" s="14" t="s">
        <v>75</v>
      </c>
      <c r="G5" s="19" t="s">
        <v>162</v>
      </c>
      <c r="H5" s="45" t="s">
        <v>175</v>
      </c>
      <c r="I5" s="56" t="s">
        <v>163</v>
      </c>
    </row>
    <row r="6" spans="2:9">
      <c r="B6" s="4">
        <v>44531</v>
      </c>
      <c r="C6" s="8"/>
      <c r="D6" s="1"/>
      <c r="E6" s="1"/>
      <c r="F6" s="5">
        <v>250000</v>
      </c>
      <c r="G6" s="51"/>
      <c r="H6" s="46"/>
      <c r="I6" s="57"/>
    </row>
    <row r="7" spans="2:9">
      <c r="B7" s="4">
        <v>44531</v>
      </c>
      <c r="C7" s="9" t="s">
        <v>130</v>
      </c>
      <c r="D7" s="5">
        <v>6000</v>
      </c>
      <c r="E7" s="5">
        <v>0</v>
      </c>
      <c r="F7" s="5">
        <f>F6-D7+E7</f>
        <v>244000</v>
      </c>
      <c r="G7" s="6"/>
      <c r="H7" s="47"/>
      <c r="I7" s="58" t="s">
        <v>55</v>
      </c>
    </row>
    <row r="8" spans="2:9">
      <c r="B8" s="4">
        <v>44531</v>
      </c>
      <c r="C8" s="9" t="s">
        <v>131</v>
      </c>
      <c r="D8" s="5">
        <v>1200</v>
      </c>
      <c r="E8" s="5">
        <v>0</v>
      </c>
      <c r="F8" s="5">
        <f t="shared" ref="F8:F71" si="0">F7-D8+E8</f>
        <v>242800</v>
      </c>
      <c r="G8" s="6"/>
      <c r="H8" s="47"/>
      <c r="I8" s="58" t="s">
        <v>139</v>
      </c>
    </row>
    <row r="9" spans="2:9">
      <c r="B9" s="4">
        <v>44531</v>
      </c>
      <c r="C9" s="9" t="s">
        <v>60</v>
      </c>
      <c r="D9" s="5">
        <v>2100</v>
      </c>
      <c r="E9" s="5">
        <v>0</v>
      </c>
      <c r="F9" s="5">
        <f t="shared" si="0"/>
        <v>240700</v>
      </c>
      <c r="G9" s="6"/>
      <c r="H9" s="47"/>
      <c r="I9" s="58" t="s">
        <v>59</v>
      </c>
    </row>
    <row r="10" spans="2:9">
      <c r="B10" s="4">
        <v>44531</v>
      </c>
      <c r="C10" s="10" t="s">
        <v>132</v>
      </c>
      <c r="D10" s="5">
        <v>0</v>
      </c>
      <c r="E10" s="5">
        <v>320000</v>
      </c>
      <c r="F10" s="5">
        <f t="shared" si="0"/>
        <v>560700</v>
      </c>
      <c r="G10" s="6"/>
      <c r="H10" s="47"/>
      <c r="I10" s="58" t="s">
        <v>45</v>
      </c>
    </row>
    <row r="11" spans="2:9">
      <c r="B11" s="4">
        <v>44531</v>
      </c>
      <c r="C11" s="9" t="s">
        <v>13</v>
      </c>
      <c r="D11" s="5">
        <v>105</v>
      </c>
      <c r="E11" s="5">
        <v>0</v>
      </c>
      <c r="F11" s="5">
        <f t="shared" si="0"/>
        <v>560595</v>
      </c>
      <c r="G11" s="6"/>
      <c r="H11" s="47"/>
      <c r="I11" s="58" t="s">
        <v>53</v>
      </c>
    </row>
    <row r="12" spans="2:9">
      <c r="B12" s="4">
        <v>44531</v>
      </c>
      <c r="C12" s="10" t="s">
        <v>133</v>
      </c>
      <c r="D12" s="5">
        <v>0</v>
      </c>
      <c r="E12" s="5">
        <v>4480</v>
      </c>
      <c r="F12" s="5">
        <f t="shared" si="0"/>
        <v>565075</v>
      </c>
      <c r="G12" s="6"/>
      <c r="H12" s="47"/>
      <c r="I12" s="58" t="s">
        <v>46</v>
      </c>
    </row>
    <row r="13" spans="2:9">
      <c r="B13" s="4">
        <v>44531</v>
      </c>
      <c r="C13" s="9" t="s">
        <v>7</v>
      </c>
      <c r="D13" s="5">
        <v>105</v>
      </c>
      <c r="E13" s="5">
        <v>0</v>
      </c>
      <c r="F13" s="5">
        <f t="shared" si="0"/>
        <v>564970</v>
      </c>
      <c r="G13" s="6"/>
      <c r="H13" s="47"/>
      <c r="I13" s="58"/>
    </row>
    <row r="14" spans="2:9">
      <c r="B14" s="4">
        <v>44531</v>
      </c>
      <c r="C14" s="11" t="s">
        <v>25</v>
      </c>
      <c r="D14" s="5">
        <v>25000</v>
      </c>
      <c r="E14" s="5">
        <v>0</v>
      </c>
      <c r="F14" s="5">
        <f t="shared" si="0"/>
        <v>539970</v>
      </c>
      <c r="G14" s="6"/>
      <c r="H14" s="47"/>
      <c r="I14" s="59" t="s">
        <v>25</v>
      </c>
    </row>
    <row r="15" spans="2:9">
      <c r="B15" s="4">
        <v>44531</v>
      </c>
      <c r="C15" s="11" t="s">
        <v>24</v>
      </c>
      <c r="D15" s="5">
        <v>12000</v>
      </c>
      <c r="E15" s="5">
        <v>0</v>
      </c>
      <c r="F15" s="5">
        <f t="shared" si="0"/>
        <v>527970</v>
      </c>
      <c r="G15" s="6"/>
      <c r="H15" s="47"/>
      <c r="I15" s="59" t="s">
        <v>24</v>
      </c>
    </row>
    <row r="16" spans="2:9">
      <c r="B16" s="4">
        <v>44533</v>
      </c>
      <c r="C16" s="9" t="s">
        <v>141</v>
      </c>
      <c r="D16" s="5">
        <v>5000</v>
      </c>
      <c r="E16" s="5">
        <v>0</v>
      </c>
      <c r="F16" s="5">
        <f t="shared" si="0"/>
        <v>522970</v>
      </c>
      <c r="G16" s="6"/>
      <c r="H16" s="47"/>
      <c r="I16" s="58" t="s">
        <v>63</v>
      </c>
    </row>
    <row r="17" spans="2:9">
      <c r="B17" s="4">
        <v>44533</v>
      </c>
      <c r="C17" s="9" t="s">
        <v>142</v>
      </c>
      <c r="D17" s="5">
        <v>1500</v>
      </c>
      <c r="E17" s="5"/>
      <c r="F17" s="5">
        <f t="shared" si="0"/>
        <v>521470</v>
      </c>
      <c r="G17" s="6"/>
      <c r="H17" s="47"/>
      <c r="I17" s="58" t="s">
        <v>62</v>
      </c>
    </row>
    <row r="18" spans="2:9">
      <c r="B18" s="4">
        <v>44533</v>
      </c>
      <c r="C18" s="9" t="s">
        <v>64</v>
      </c>
      <c r="D18" s="5">
        <v>300000</v>
      </c>
      <c r="E18" s="5">
        <v>0</v>
      </c>
      <c r="F18" s="5">
        <f t="shared" si="0"/>
        <v>221470</v>
      </c>
      <c r="G18" s="6"/>
      <c r="H18" s="47"/>
      <c r="I18" s="58" t="s">
        <v>64</v>
      </c>
    </row>
    <row r="19" spans="2:9">
      <c r="B19" s="4">
        <v>44536</v>
      </c>
      <c r="C19" s="9" t="s">
        <v>143</v>
      </c>
      <c r="D19" s="5">
        <v>6000</v>
      </c>
      <c r="E19" s="5">
        <v>0</v>
      </c>
      <c r="F19" s="5">
        <f t="shared" si="0"/>
        <v>215470</v>
      </c>
      <c r="G19" s="6"/>
      <c r="H19" s="47"/>
      <c r="I19" s="58" t="s">
        <v>55</v>
      </c>
    </row>
    <row r="20" spans="2:9">
      <c r="B20" s="4">
        <v>44536</v>
      </c>
      <c r="C20" s="9" t="s">
        <v>144</v>
      </c>
      <c r="D20" s="5">
        <v>12000</v>
      </c>
      <c r="E20" s="5">
        <v>0</v>
      </c>
      <c r="F20" s="5">
        <f t="shared" si="0"/>
        <v>203470</v>
      </c>
      <c r="G20" s="6"/>
      <c r="H20" s="47"/>
      <c r="I20" s="58" t="s">
        <v>61</v>
      </c>
    </row>
    <row r="21" spans="2:9">
      <c r="B21" s="4">
        <v>44536</v>
      </c>
      <c r="C21" s="10" t="s">
        <v>134</v>
      </c>
      <c r="D21" s="5">
        <v>0</v>
      </c>
      <c r="E21" s="5">
        <v>76800</v>
      </c>
      <c r="F21" s="5">
        <f t="shared" si="0"/>
        <v>280270</v>
      </c>
      <c r="G21" s="6"/>
      <c r="H21" s="47"/>
      <c r="I21" s="58" t="s">
        <v>49</v>
      </c>
    </row>
    <row r="22" spans="2:9">
      <c r="B22" s="4">
        <v>44536</v>
      </c>
      <c r="C22" s="9" t="s">
        <v>1</v>
      </c>
      <c r="D22" s="5">
        <v>105</v>
      </c>
      <c r="E22" s="5">
        <v>0</v>
      </c>
      <c r="F22" s="5">
        <f t="shared" si="0"/>
        <v>280165</v>
      </c>
      <c r="G22" s="6"/>
      <c r="H22" s="47"/>
      <c r="I22" s="58"/>
    </row>
    <row r="23" spans="2:9">
      <c r="B23" s="4">
        <v>44536</v>
      </c>
      <c r="C23" s="10" t="s">
        <v>135</v>
      </c>
      <c r="D23" s="5">
        <v>0</v>
      </c>
      <c r="E23" s="5">
        <v>224000</v>
      </c>
      <c r="F23" s="5">
        <f t="shared" si="0"/>
        <v>504165</v>
      </c>
      <c r="G23" s="6"/>
      <c r="H23" s="47"/>
      <c r="I23" s="58" t="s">
        <v>48</v>
      </c>
    </row>
    <row r="24" spans="2:9">
      <c r="B24" s="4">
        <v>44536</v>
      </c>
      <c r="C24" s="9" t="s">
        <v>16</v>
      </c>
      <c r="D24" s="5">
        <v>105</v>
      </c>
      <c r="E24" s="5">
        <v>0</v>
      </c>
      <c r="F24" s="5">
        <f t="shared" si="0"/>
        <v>504060</v>
      </c>
      <c r="G24" s="6"/>
      <c r="H24" s="47"/>
      <c r="I24" s="58"/>
    </row>
    <row r="25" spans="2:9">
      <c r="B25" s="4">
        <v>44536</v>
      </c>
      <c r="C25" s="11" t="s">
        <v>8</v>
      </c>
      <c r="D25" s="5">
        <v>55000</v>
      </c>
      <c r="E25" s="5">
        <v>0</v>
      </c>
      <c r="F25" s="5">
        <f t="shared" si="0"/>
        <v>449060</v>
      </c>
      <c r="G25" s="6"/>
      <c r="H25" s="47"/>
      <c r="I25" s="59" t="s">
        <v>8</v>
      </c>
    </row>
    <row r="26" spans="2:9">
      <c r="B26" s="4">
        <v>44536</v>
      </c>
      <c r="C26" s="11" t="s">
        <v>54</v>
      </c>
      <c r="D26" s="5">
        <v>43000</v>
      </c>
      <c r="E26" s="5">
        <v>0</v>
      </c>
      <c r="F26" s="5">
        <f t="shared" si="0"/>
        <v>406060</v>
      </c>
      <c r="G26" s="6"/>
      <c r="H26" s="47"/>
      <c r="I26" s="59" t="s">
        <v>54</v>
      </c>
    </row>
    <row r="27" spans="2:9">
      <c r="B27" s="4">
        <v>44539</v>
      </c>
      <c r="C27" s="9" t="s">
        <v>67</v>
      </c>
      <c r="D27" s="5">
        <v>160000</v>
      </c>
      <c r="E27" s="5">
        <v>0</v>
      </c>
      <c r="F27" s="5">
        <f t="shared" si="0"/>
        <v>246060</v>
      </c>
      <c r="G27" s="6"/>
      <c r="H27" s="47"/>
      <c r="I27" s="58" t="s">
        <v>67</v>
      </c>
    </row>
    <row r="28" spans="2:9">
      <c r="B28" s="4">
        <v>44540</v>
      </c>
      <c r="C28" s="9" t="s">
        <v>145</v>
      </c>
      <c r="D28" s="5">
        <v>8000</v>
      </c>
      <c r="E28" s="5">
        <v>0</v>
      </c>
      <c r="F28" s="5">
        <f t="shared" si="0"/>
        <v>238060</v>
      </c>
      <c r="G28" s="6"/>
      <c r="H28" s="47"/>
      <c r="I28" s="58" t="s">
        <v>55</v>
      </c>
    </row>
    <row r="29" spans="2:9">
      <c r="B29" s="4">
        <v>44540</v>
      </c>
      <c r="C29" s="9" t="s">
        <v>146</v>
      </c>
      <c r="D29" s="5">
        <v>30000</v>
      </c>
      <c r="E29" s="5">
        <v>0</v>
      </c>
      <c r="F29" s="5">
        <f t="shared" si="0"/>
        <v>208060</v>
      </c>
      <c r="G29" s="6"/>
      <c r="H29" s="47"/>
      <c r="I29" s="58" t="s">
        <v>140</v>
      </c>
    </row>
    <row r="30" spans="2:9">
      <c r="B30" s="4">
        <v>44544</v>
      </c>
      <c r="C30" s="12" t="s">
        <v>58</v>
      </c>
      <c r="D30" s="5">
        <v>13000</v>
      </c>
      <c r="E30" s="5">
        <v>0</v>
      </c>
      <c r="F30" s="5">
        <f t="shared" si="0"/>
        <v>195060</v>
      </c>
      <c r="G30" s="6"/>
      <c r="H30" s="47"/>
      <c r="I30" s="60" t="s">
        <v>58</v>
      </c>
    </row>
    <row r="31" spans="2:9">
      <c r="B31" s="4">
        <v>44544</v>
      </c>
      <c r="C31" s="9" t="s">
        <v>65</v>
      </c>
      <c r="D31" s="5">
        <v>92000</v>
      </c>
      <c r="E31" s="5">
        <v>0</v>
      </c>
      <c r="F31" s="5">
        <f t="shared" si="0"/>
        <v>103060</v>
      </c>
      <c r="G31" s="6"/>
      <c r="H31" s="47"/>
      <c r="I31" s="58" t="s">
        <v>66</v>
      </c>
    </row>
    <row r="32" spans="2:9">
      <c r="B32" s="4">
        <v>44544</v>
      </c>
      <c r="C32" s="10" t="s">
        <v>69</v>
      </c>
      <c r="D32" s="5">
        <v>0</v>
      </c>
      <c r="E32" s="5">
        <v>332800</v>
      </c>
      <c r="F32" s="5">
        <f t="shared" si="0"/>
        <v>435860</v>
      </c>
      <c r="G32" s="6"/>
      <c r="H32" s="47"/>
      <c r="I32" s="58" t="s">
        <v>48</v>
      </c>
    </row>
    <row r="33" spans="2:9">
      <c r="B33" s="4">
        <v>44544</v>
      </c>
      <c r="C33" s="9" t="s">
        <v>16</v>
      </c>
      <c r="D33" s="5">
        <v>105</v>
      </c>
      <c r="E33" s="5">
        <v>0</v>
      </c>
      <c r="F33" s="5">
        <f t="shared" si="0"/>
        <v>435755</v>
      </c>
      <c r="G33" s="6"/>
      <c r="H33" s="47"/>
      <c r="I33" s="58"/>
    </row>
    <row r="34" spans="2:9">
      <c r="B34" s="4">
        <v>44544</v>
      </c>
      <c r="C34" s="10" t="s">
        <v>70</v>
      </c>
      <c r="D34" s="5">
        <v>0</v>
      </c>
      <c r="E34" s="5">
        <v>25600</v>
      </c>
      <c r="F34" s="5">
        <f t="shared" si="0"/>
        <v>461355</v>
      </c>
      <c r="G34" s="6"/>
      <c r="H34" s="47"/>
      <c r="I34" s="58" t="s">
        <v>46</v>
      </c>
    </row>
    <row r="35" spans="2:9">
      <c r="B35" s="4">
        <v>44544</v>
      </c>
      <c r="C35" s="9" t="s">
        <v>2</v>
      </c>
      <c r="D35" s="5">
        <v>105</v>
      </c>
      <c r="E35" s="5">
        <v>0</v>
      </c>
      <c r="F35" s="5">
        <f t="shared" si="0"/>
        <v>461250</v>
      </c>
      <c r="G35" s="6"/>
      <c r="H35" s="47"/>
      <c r="I35" s="58"/>
    </row>
    <row r="36" spans="2:9">
      <c r="B36" s="4">
        <v>44545</v>
      </c>
      <c r="C36" s="9" t="s">
        <v>147</v>
      </c>
      <c r="D36" s="5">
        <v>28650</v>
      </c>
      <c r="E36" s="5">
        <v>0</v>
      </c>
      <c r="F36" s="5">
        <f t="shared" si="0"/>
        <v>432600</v>
      </c>
      <c r="G36" s="6"/>
      <c r="H36" s="47"/>
      <c r="I36" s="59" t="s">
        <v>25</v>
      </c>
    </row>
    <row r="37" spans="2:9">
      <c r="B37" s="4">
        <v>44545</v>
      </c>
      <c r="C37" s="9" t="s">
        <v>148</v>
      </c>
      <c r="D37" s="5">
        <v>650</v>
      </c>
      <c r="E37" s="5">
        <v>0</v>
      </c>
      <c r="F37" s="5">
        <f t="shared" si="0"/>
        <v>431950</v>
      </c>
      <c r="G37" s="6"/>
      <c r="H37" s="47"/>
      <c r="I37" s="58" t="s">
        <v>55</v>
      </c>
    </row>
    <row r="38" spans="2:9">
      <c r="B38" s="4">
        <v>44545</v>
      </c>
      <c r="C38" s="9" t="s">
        <v>149</v>
      </c>
      <c r="D38" s="5">
        <v>23000</v>
      </c>
      <c r="E38" s="5">
        <v>0</v>
      </c>
      <c r="F38" s="5">
        <f t="shared" si="0"/>
        <v>408950</v>
      </c>
      <c r="G38" s="6"/>
      <c r="H38" s="47"/>
      <c r="I38" s="58" t="s">
        <v>138</v>
      </c>
    </row>
    <row r="39" spans="2:9">
      <c r="B39" s="4">
        <v>44545</v>
      </c>
      <c r="C39" s="9" t="s">
        <v>150</v>
      </c>
      <c r="D39" s="5">
        <v>5300</v>
      </c>
      <c r="E39" s="5">
        <v>0</v>
      </c>
      <c r="F39" s="5">
        <f t="shared" si="0"/>
        <v>403650</v>
      </c>
      <c r="G39" s="6"/>
      <c r="H39" s="47"/>
      <c r="I39" s="59" t="s">
        <v>54</v>
      </c>
    </row>
    <row r="40" spans="2:9">
      <c r="B40" s="4">
        <v>44545</v>
      </c>
      <c r="C40" s="10" t="s">
        <v>151</v>
      </c>
      <c r="D40" s="5">
        <v>0</v>
      </c>
      <c r="E40" s="5">
        <v>236800</v>
      </c>
      <c r="F40" s="5">
        <f t="shared" si="0"/>
        <v>640450</v>
      </c>
      <c r="G40" s="6"/>
      <c r="H40" s="47"/>
      <c r="I40" s="58" t="s">
        <v>50</v>
      </c>
    </row>
    <row r="41" spans="2:9">
      <c r="B41" s="4">
        <v>44545</v>
      </c>
      <c r="C41" s="9" t="s">
        <v>3</v>
      </c>
      <c r="D41" s="5">
        <v>105</v>
      </c>
      <c r="E41" s="5">
        <v>0</v>
      </c>
      <c r="F41" s="5">
        <f t="shared" si="0"/>
        <v>640345</v>
      </c>
      <c r="G41" s="6"/>
      <c r="H41" s="47"/>
      <c r="I41" s="58"/>
    </row>
    <row r="42" spans="2:9">
      <c r="B42" s="4">
        <v>44545</v>
      </c>
      <c r="C42" s="9" t="s">
        <v>67</v>
      </c>
      <c r="D42" s="5">
        <v>55000</v>
      </c>
      <c r="E42" s="5">
        <v>0</v>
      </c>
      <c r="F42" s="5">
        <f t="shared" si="0"/>
        <v>585345</v>
      </c>
      <c r="G42" s="6"/>
      <c r="H42" s="47"/>
      <c r="I42" s="58" t="s">
        <v>67</v>
      </c>
    </row>
    <row r="43" spans="2:9">
      <c r="B43" s="4">
        <v>44545</v>
      </c>
      <c r="C43" s="9" t="s">
        <v>68</v>
      </c>
      <c r="D43" s="5">
        <v>114000</v>
      </c>
      <c r="E43" s="5">
        <v>0</v>
      </c>
      <c r="F43" s="5">
        <f t="shared" si="0"/>
        <v>471345</v>
      </c>
      <c r="G43" s="6"/>
      <c r="H43" s="47"/>
      <c r="I43" s="58" t="s">
        <v>68</v>
      </c>
    </row>
    <row r="44" spans="2:9">
      <c r="B44" s="4">
        <v>44545</v>
      </c>
      <c r="C44" s="11" t="s">
        <v>9</v>
      </c>
      <c r="D44" s="5">
        <v>14815</v>
      </c>
      <c r="E44" s="5">
        <v>0</v>
      </c>
      <c r="F44" s="5">
        <f t="shared" si="0"/>
        <v>456530</v>
      </c>
      <c r="G44" s="6"/>
      <c r="H44" s="47"/>
      <c r="I44" s="59" t="s">
        <v>9</v>
      </c>
    </row>
    <row r="45" spans="2:9">
      <c r="B45" s="4">
        <v>44545</v>
      </c>
      <c r="C45" s="11" t="s">
        <v>10</v>
      </c>
      <c r="D45" s="5">
        <v>12000</v>
      </c>
      <c r="E45" s="5">
        <v>0</v>
      </c>
      <c r="F45" s="5">
        <f t="shared" si="0"/>
        <v>444530</v>
      </c>
      <c r="G45" s="6"/>
      <c r="H45" s="47"/>
      <c r="I45" s="59" t="s">
        <v>158</v>
      </c>
    </row>
    <row r="46" spans="2:9">
      <c r="B46" s="4">
        <v>44546</v>
      </c>
      <c r="C46" s="9" t="s">
        <v>18</v>
      </c>
      <c r="D46" s="5">
        <v>4500</v>
      </c>
      <c r="E46" s="5">
        <v>0</v>
      </c>
      <c r="F46" s="5">
        <f t="shared" si="0"/>
        <v>440030</v>
      </c>
      <c r="G46" s="6"/>
      <c r="H46" s="47"/>
      <c r="I46" s="58" t="s">
        <v>55</v>
      </c>
    </row>
    <row r="47" spans="2:9">
      <c r="B47" s="4">
        <v>44546</v>
      </c>
      <c r="C47" s="10" t="s">
        <v>152</v>
      </c>
      <c r="D47" s="5">
        <v>0</v>
      </c>
      <c r="E47" s="5">
        <v>192000</v>
      </c>
      <c r="F47" s="5">
        <f t="shared" si="0"/>
        <v>632030</v>
      </c>
      <c r="G47" s="6"/>
      <c r="H47" s="47"/>
      <c r="I47" s="58" t="s">
        <v>48</v>
      </c>
    </row>
    <row r="48" spans="2:9">
      <c r="B48" s="4">
        <v>44546</v>
      </c>
      <c r="C48" s="9" t="s">
        <v>17</v>
      </c>
      <c r="D48" s="5">
        <v>105</v>
      </c>
      <c r="E48" s="5">
        <v>0</v>
      </c>
      <c r="F48" s="5">
        <f t="shared" si="0"/>
        <v>631925</v>
      </c>
      <c r="G48" s="6"/>
      <c r="H48" s="47"/>
      <c r="I48" s="58"/>
    </row>
    <row r="49" spans="2:9">
      <c r="B49" s="4">
        <v>44546</v>
      </c>
      <c r="C49" s="11" t="s">
        <v>54</v>
      </c>
      <c r="D49" s="5">
        <v>30000</v>
      </c>
      <c r="E49" s="5">
        <v>0</v>
      </c>
      <c r="F49" s="5">
        <f t="shared" si="0"/>
        <v>601925</v>
      </c>
      <c r="G49" s="6"/>
      <c r="H49" s="47"/>
      <c r="I49" s="59" t="s">
        <v>54</v>
      </c>
    </row>
    <row r="50" spans="2:9">
      <c r="B50" s="4">
        <v>44550</v>
      </c>
      <c r="C50" s="12" t="s">
        <v>58</v>
      </c>
      <c r="D50" s="5">
        <v>7000</v>
      </c>
      <c r="E50" s="5">
        <v>0</v>
      </c>
      <c r="F50" s="5">
        <f t="shared" si="0"/>
        <v>594925</v>
      </c>
      <c r="G50" s="6"/>
      <c r="H50" s="47"/>
      <c r="I50" s="60" t="s">
        <v>58</v>
      </c>
    </row>
    <row r="51" spans="2:9">
      <c r="B51" s="4">
        <v>44550</v>
      </c>
      <c r="C51" s="9" t="s">
        <v>19</v>
      </c>
      <c r="D51" s="5">
        <v>12000</v>
      </c>
      <c r="E51" s="5">
        <v>0</v>
      </c>
      <c r="F51" s="5">
        <f t="shared" si="0"/>
        <v>582925</v>
      </c>
      <c r="G51" s="6"/>
      <c r="H51" s="47"/>
      <c r="I51" s="58" t="s">
        <v>55</v>
      </c>
    </row>
    <row r="52" spans="2:9">
      <c r="B52" s="4">
        <v>44550</v>
      </c>
      <c r="C52" s="9" t="s">
        <v>20</v>
      </c>
      <c r="D52" s="5">
        <v>3500</v>
      </c>
      <c r="E52" s="5">
        <v>0</v>
      </c>
      <c r="F52" s="5">
        <f t="shared" si="0"/>
        <v>579425</v>
      </c>
      <c r="G52" s="6"/>
      <c r="H52" s="47"/>
      <c r="I52" s="58" t="s">
        <v>137</v>
      </c>
    </row>
    <row r="53" spans="2:9">
      <c r="B53" s="4">
        <v>44550</v>
      </c>
      <c r="C53" s="9" t="s">
        <v>66</v>
      </c>
      <c r="D53" s="5">
        <v>300000</v>
      </c>
      <c r="E53" s="5">
        <v>0</v>
      </c>
      <c r="F53" s="5">
        <f t="shared" si="0"/>
        <v>279425</v>
      </c>
      <c r="G53" s="6"/>
      <c r="H53" s="47"/>
      <c r="I53" s="58" t="s">
        <v>66</v>
      </c>
    </row>
    <row r="54" spans="2:9">
      <c r="B54" s="7">
        <v>44551</v>
      </c>
      <c r="C54" s="10" t="s">
        <v>71</v>
      </c>
      <c r="D54" s="5">
        <v>0</v>
      </c>
      <c r="E54" s="5">
        <v>16000</v>
      </c>
      <c r="F54" s="5">
        <f t="shared" si="0"/>
        <v>295425</v>
      </c>
      <c r="G54" s="6"/>
      <c r="H54" s="47"/>
      <c r="I54" s="58" t="s">
        <v>46</v>
      </c>
    </row>
    <row r="55" spans="2:9">
      <c r="B55" s="7">
        <v>44551</v>
      </c>
      <c r="C55" s="9" t="s">
        <v>4</v>
      </c>
      <c r="D55" s="5">
        <v>105</v>
      </c>
      <c r="E55" s="5">
        <v>0</v>
      </c>
      <c r="F55" s="5">
        <f t="shared" si="0"/>
        <v>295320</v>
      </c>
      <c r="G55" s="6"/>
      <c r="H55" s="47"/>
      <c r="I55" s="58"/>
    </row>
    <row r="56" spans="2:9">
      <c r="B56" s="7">
        <v>44551</v>
      </c>
      <c r="C56" s="9" t="s">
        <v>67</v>
      </c>
      <c r="D56" s="5">
        <v>250000</v>
      </c>
      <c r="E56" s="5">
        <v>0</v>
      </c>
      <c r="F56" s="5">
        <f t="shared" si="0"/>
        <v>45320</v>
      </c>
      <c r="G56" s="6"/>
      <c r="H56" s="47"/>
      <c r="I56" s="58" t="s">
        <v>67</v>
      </c>
    </row>
    <row r="57" spans="2:9">
      <c r="B57" s="4">
        <v>44551</v>
      </c>
      <c r="C57" s="11" t="s">
        <v>56</v>
      </c>
      <c r="D57" s="5">
        <v>30000</v>
      </c>
      <c r="E57" s="5">
        <v>0</v>
      </c>
      <c r="F57" s="5">
        <f t="shared" si="0"/>
        <v>15320</v>
      </c>
      <c r="G57" s="6"/>
      <c r="H57" s="47"/>
      <c r="I57" s="59" t="s">
        <v>56</v>
      </c>
    </row>
    <row r="58" spans="2:9">
      <c r="B58" s="7">
        <v>44552</v>
      </c>
      <c r="C58" s="10" t="s">
        <v>136</v>
      </c>
      <c r="D58" s="5">
        <v>0</v>
      </c>
      <c r="E58" s="5">
        <v>288000</v>
      </c>
      <c r="F58" s="5">
        <f t="shared" si="0"/>
        <v>303320</v>
      </c>
      <c r="G58" s="6"/>
      <c r="H58" s="47"/>
      <c r="I58" s="58" t="s">
        <v>50</v>
      </c>
    </row>
    <row r="59" spans="2:9">
      <c r="B59" s="7">
        <v>44552</v>
      </c>
      <c r="C59" s="9" t="s">
        <v>3</v>
      </c>
      <c r="D59" s="5">
        <v>105</v>
      </c>
      <c r="E59" s="5">
        <v>0</v>
      </c>
      <c r="F59" s="5">
        <f t="shared" si="0"/>
        <v>303215</v>
      </c>
      <c r="G59" s="6"/>
      <c r="H59" s="47"/>
      <c r="I59" s="58"/>
    </row>
    <row r="60" spans="2:9">
      <c r="B60" s="4">
        <v>44553</v>
      </c>
      <c r="C60" s="9" t="s">
        <v>57</v>
      </c>
      <c r="D60" s="5">
        <v>24000</v>
      </c>
      <c r="E60" s="5">
        <v>0</v>
      </c>
      <c r="F60" s="5">
        <f t="shared" si="0"/>
        <v>279215</v>
      </c>
      <c r="G60" s="6"/>
      <c r="H60" s="47"/>
      <c r="I60" s="58" t="s">
        <v>55</v>
      </c>
    </row>
    <row r="61" spans="2:9">
      <c r="B61" s="4">
        <v>44553</v>
      </c>
      <c r="C61" s="9" t="s">
        <v>21</v>
      </c>
      <c r="D61" s="5">
        <v>1200</v>
      </c>
      <c r="E61" s="5">
        <v>0</v>
      </c>
      <c r="F61" s="5">
        <f t="shared" si="0"/>
        <v>278015</v>
      </c>
      <c r="G61" s="6"/>
      <c r="H61" s="47"/>
      <c r="I61" s="58" t="s">
        <v>62</v>
      </c>
    </row>
    <row r="62" spans="2:9">
      <c r="B62" s="4">
        <v>44553</v>
      </c>
      <c r="C62" s="11" t="s">
        <v>56</v>
      </c>
      <c r="D62" s="5">
        <v>23000</v>
      </c>
      <c r="E62" s="5">
        <v>0</v>
      </c>
      <c r="F62" s="5">
        <f t="shared" si="0"/>
        <v>255015</v>
      </c>
      <c r="G62" s="6"/>
      <c r="H62" s="47"/>
      <c r="I62" s="59" t="s">
        <v>56</v>
      </c>
    </row>
    <row r="63" spans="2:9">
      <c r="B63" s="4">
        <v>44558</v>
      </c>
      <c r="C63" s="12" t="s">
        <v>58</v>
      </c>
      <c r="D63" s="5">
        <v>11000</v>
      </c>
      <c r="E63" s="5">
        <v>0</v>
      </c>
      <c r="F63" s="5">
        <f t="shared" si="0"/>
        <v>244015</v>
      </c>
      <c r="G63" s="6"/>
      <c r="H63" s="47"/>
      <c r="I63" s="60" t="s">
        <v>58</v>
      </c>
    </row>
    <row r="64" spans="2:9" customFormat="1">
      <c r="B64" s="4">
        <v>44558</v>
      </c>
      <c r="C64" s="9" t="s">
        <v>22</v>
      </c>
      <c r="D64" s="5">
        <v>735</v>
      </c>
      <c r="E64" s="5">
        <v>0</v>
      </c>
      <c r="F64" s="5">
        <f t="shared" si="0"/>
        <v>243280</v>
      </c>
      <c r="G64" s="6"/>
      <c r="H64" s="47"/>
      <c r="I64" s="58" t="s">
        <v>139</v>
      </c>
    </row>
    <row r="65" spans="2:9">
      <c r="B65" s="4">
        <v>44558</v>
      </c>
      <c r="C65" s="10" t="s">
        <v>164</v>
      </c>
      <c r="D65" s="5">
        <v>0</v>
      </c>
      <c r="E65" s="5">
        <v>620800</v>
      </c>
      <c r="F65" s="5">
        <f t="shared" si="0"/>
        <v>864080</v>
      </c>
      <c r="G65" s="6"/>
      <c r="H65" s="47"/>
      <c r="I65" s="58" t="s">
        <v>48</v>
      </c>
    </row>
    <row r="66" spans="2:9">
      <c r="B66" s="4">
        <v>44558</v>
      </c>
      <c r="C66" s="9" t="s">
        <v>165</v>
      </c>
      <c r="D66" s="5">
        <v>105</v>
      </c>
      <c r="E66" s="5">
        <v>0</v>
      </c>
      <c r="F66" s="5">
        <f t="shared" si="0"/>
        <v>863975</v>
      </c>
      <c r="G66" s="6"/>
      <c r="H66" s="47"/>
      <c r="I66" s="58"/>
    </row>
    <row r="67" spans="2:9">
      <c r="B67" s="4">
        <v>44558</v>
      </c>
      <c r="C67" s="9" t="s">
        <v>67</v>
      </c>
      <c r="D67" s="5">
        <v>700000</v>
      </c>
      <c r="E67" s="5">
        <v>0</v>
      </c>
      <c r="F67" s="5">
        <f t="shared" si="0"/>
        <v>163975</v>
      </c>
      <c r="G67" s="6"/>
      <c r="H67" s="47"/>
      <c r="I67" s="58" t="s">
        <v>67</v>
      </c>
    </row>
    <row r="68" spans="2:9" customFormat="1">
      <c r="B68" s="4">
        <v>44559</v>
      </c>
      <c r="C68" s="9" t="s">
        <v>5</v>
      </c>
      <c r="D68" s="5">
        <v>3600</v>
      </c>
      <c r="E68" s="5">
        <v>0</v>
      </c>
      <c r="F68" s="5">
        <f t="shared" si="0"/>
        <v>160375</v>
      </c>
      <c r="G68" s="6"/>
      <c r="H68" s="47"/>
      <c r="I68" s="60" t="s">
        <v>58</v>
      </c>
    </row>
    <row r="69" spans="2:9" customFormat="1">
      <c r="B69" s="4">
        <v>44559</v>
      </c>
      <c r="C69" s="9" t="s">
        <v>6</v>
      </c>
      <c r="D69" s="5">
        <v>5900</v>
      </c>
      <c r="E69" s="5">
        <v>0</v>
      </c>
      <c r="F69" s="5">
        <f t="shared" si="0"/>
        <v>154475</v>
      </c>
      <c r="G69" s="6"/>
      <c r="H69" s="47"/>
      <c r="I69" s="59" t="s">
        <v>25</v>
      </c>
    </row>
    <row r="70" spans="2:9" customFormat="1">
      <c r="B70" s="4">
        <v>44559</v>
      </c>
      <c r="C70" s="9" t="s">
        <v>66</v>
      </c>
      <c r="D70" s="5">
        <v>14000</v>
      </c>
      <c r="E70" s="5">
        <v>0</v>
      </c>
      <c r="F70" s="5">
        <f t="shared" si="0"/>
        <v>140475</v>
      </c>
      <c r="G70" s="6"/>
      <c r="H70" s="47"/>
      <c r="I70" s="58" t="s">
        <v>66</v>
      </c>
    </row>
    <row r="71" spans="2:9" customFormat="1">
      <c r="B71" s="4">
        <v>44560</v>
      </c>
      <c r="C71" s="11" t="s">
        <v>25</v>
      </c>
      <c r="D71" s="5">
        <v>52000</v>
      </c>
      <c r="E71" s="5">
        <v>0</v>
      </c>
      <c r="F71" s="5">
        <f t="shared" si="0"/>
        <v>88475</v>
      </c>
      <c r="G71" s="6"/>
      <c r="H71" s="47"/>
      <c r="I71" s="59" t="s">
        <v>25</v>
      </c>
    </row>
    <row r="72" spans="2:9" customFormat="1">
      <c r="B72" s="4">
        <v>44561</v>
      </c>
      <c r="C72" s="10" t="s">
        <v>153</v>
      </c>
      <c r="D72" s="5">
        <v>0</v>
      </c>
      <c r="E72" s="5">
        <v>680000</v>
      </c>
      <c r="F72" s="5">
        <f t="shared" ref="F72:F83" si="1">F71-D72+E72</f>
        <v>768475</v>
      </c>
      <c r="G72" s="6"/>
      <c r="H72" s="47"/>
      <c r="I72" s="58" t="s">
        <v>45</v>
      </c>
    </row>
    <row r="73" spans="2:9" customFormat="1">
      <c r="B73" s="4">
        <v>44561</v>
      </c>
      <c r="C73" s="9" t="s">
        <v>14</v>
      </c>
      <c r="D73" s="5">
        <v>105</v>
      </c>
      <c r="E73" s="5">
        <v>0</v>
      </c>
      <c r="F73" s="5">
        <f t="shared" si="1"/>
        <v>768370</v>
      </c>
      <c r="G73" s="6"/>
      <c r="H73" s="47"/>
      <c r="I73" s="58"/>
    </row>
    <row r="74" spans="2:9" customFormat="1">
      <c r="B74" s="4">
        <v>44561</v>
      </c>
      <c r="C74" s="9" t="s">
        <v>154</v>
      </c>
      <c r="D74" s="5">
        <v>30000</v>
      </c>
      <c r="E74" s="5">
        <v>0</v>
      </c>
      <c r="F74" s="5">
        <f t="shared" si="1"/>
        <v>738370</v>
      </c>
      <c r="G74" s="6"/>
      <c r="H74" s="47"/>
      <c r="I74" s="58" t="s">
        <v>51</v>
      </c>
    </row>
    <row r="75" spans="2:9" customFormat="1">
      <c r="B75" s="4">
        <v>44561</v>
      </c>
      <c r="C75" s="9" t="s">
        <v>155</v>
      </c>
      <c r="D75" s="5">
        <v>25000</v>
      </c>
      <c r="E75" s="5">
        <v>0</v>
      </c>
      <c r="F75" s="5">
        <f t="shared" si="1"/>
        <v>713370</v>
      </c>
      <c r="G75" s="6"/>
      <c r="H75" s="47"/>
      <c r="I75" s="58" t="s">
        <v>52</v>
      </c>
    </row>
    <row r="76" spans="2:9" customFormat="1">
      <c r="B76" s="4">
        <v>44561</v>
      </c>
      <c r="C76" s="9" t="s">
        <v>23</v>
      </c>
      <c r="D76" s="5">
        <v>20000</v>
      </c>
      <c r="E76" s="5">
        <v>0</v>
      </c>
      <c r="F76" s="5">
        <f t="shared" si="1"/>
        <v>693370</v>
      </c>
      <c r="G76" s="6"/>
      <c r="H76" s="47"/>
      <c r="I76" s="58" t="s">
        <v>12</v>
      </c>
    </row>
    <row r="77" spans="2:9" customFormat="1">
      <c r="B77" s="4">
        <v>44561</v>
      </c>
      <c r="C77" s="9" t="s">
        <v>23</v>
      </c>
      <c r="D77" s="5">
        <v>20000</v>
      </c>
      <c r="E77" s="5">
        <v>0</v>
      </c>
      <c r="F77" s="5">
        <f t="shared" si="1"/>
        <v>673370</v>
      </c>
      <c r="G77" s="6"/>
      <c r="H77" s="47"/>
      <c r="I77" s="59" t="s">
        <v>159</v>
      </c>
    </row>
    <row r="78" spans="2:9" customFormat="1">
      <c r="B78" s="4">
        <v>44561</v>
      </c>
      <c r="C78" s="9" t="s">
        <v>23</v>
      </c>
      <c r="D78" s="5">
        <v>5000</v>
      </c>
      <c r="E78" s="5">
        <v>0</v>
      </c>
      <c r="F78" s="5">
        <f t="shared" si="1"/>
        <v>668370</v>
      </c>
      <c r="G78" s="6"/>
      <c r="H78" s="47"/>
      <c r="I78" s="58" t="s">
        <v>160</v>
      </c>
    </row>
    <row r="79" spans="2:9" customFormat="1">
      <c r="B79" s="4">
        <v>44561</v>
      </c>
      <c r="C79" s="10" t="s">
        <v>156</v>
      </c>
      <c r="D79" s="5">
        <v>0</v>
      </c>
      <c r="E79" s="5">
        <v>192000</v>
      </c>
      <c r="F79" s="5">
        <f t="shared" si="1"/>
        <v>860370</v>
      </c>
      <c r="G79" s="6"/>
      <c r="H79" s="47"/>
      <c r="I79" s="58" t="s">
        <v>46</v>
      </c>
    </row>
    <row r="80" spans="2:9" customFormat="1">
      <c r="B80" s="4">
        <v>44561</v>
      </c>
      <c r="C80" s="9" t="s">
        <v>15</v>
      </c>
      <c r="D80" s="5">
        <v>105</v>
      </c>
      <c r="E80" s="5">
        <v>0</v>
      </c>
      <c r="F80" s="5">
        <f t="shared" si="1"/>
        <v>860265</v>
      </c>
      <c r="G80" s="6"/>
      <c r="H80" s="47"/>
      <c r="I80" s="58"/>
    </row>
    <row r="81" spans="2:9">
      <c r="B81" s="4">
        <v>44561</v>
      </c>
      <c r="C81" s="9" t="s">
        <v>67</v>
      </c>
      <c r="D81" s="5">
        <v>800000</v>
      </c>
      <c r="E81" s="5">
        <v>0</v>
      </c>
      <c r="F81" s="5">
        <f t="shared" si="1"/>
        <v>60265</v>
      </c>
      <c r="G81" s="6"/>
      <c r="H81" s="47"/>
      <c r="I81" s="58" t="s">
        <v>67</v>
      </c>
    </row>
    <row r="82" spans="2:9">
      <c r="B82" s="4">
        <v>44561</v>
      </c>
      <c r="C82" s="10" t="s">
        <v>157</v>
      </c>
      <c r="D82" s="5">
        <v>0</v>
      </c>
      <c r="E82" s="5">
        <v>180000</v>
      </c>
      <c r="F82" s="5">
        <f t="shared" si="1"/>
        <v>240265</v>
      </c>
      <c r="G82" s="6"/>
      <c r="H82" s="47"/>
      <c r="I82" s="58" t="s">
        <v>48</v>
      </c>
    </row>
    <row r="83" spans="2:9">
      <c r="B83" s="4">
        <v>44561</v>
      </c>
      <c r="C83" s="9" t="s">
        <v>166</v>
      </c>
      <c r="D83" s="5">
        <v>265</v>
      </c>
      <c r="E83" s="5">
        <v>0</v>
      </c>
      <c r="F83" s="5">
        <f t="shared" si="1"/>
        <v>240000</v>
      </c>
      <c r="G83" s="6"/>
      <c r="H83" s="47"/>
      <c r="I83" s="9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BFFB1-59E5-4F28-9F6F-186B6D3CF5D6}">
  <dimension ref="B1:E72"/>
  <sheetViews>
    <sheetView zoomScale="80" zoomScaleNormal="80" workbookViewId="0"/>
  </sheetViews>
  <sheetFormatPr defaultRowHeight="18"/>
  <cols>
    <col min="1" max="1" width="1.4140625" style="2" customWidth="1"/>
    <col min="2" max="2" width="8" style="2" customWidth="1"/>
    <col min="3" max="3" width="33.75" style="2" bestFit="1" customWidth="1"/>
    <col min="4" max="4" width="10.58203125" style="2" bestFit="1" customWidth="1"/>
    <col min="5" max="5" width="27.1640625" bestFit="1" customWidth="1"/>
    <col min="6" max="16384" width="8.6640625" style="2"/>
  </cols>
  <sheetData>
    <row r="1" spans="2:5">
      <c r="E1" s="2"/>
    </row>
    <row r="2" spans="2:5" ht="18.5" thickBot="1">
      <c r="B2" s="44" t="s">
        <v>171</v>
      </c>
      <c r="C2" s="44"/>
      <c r="D2" s="44" t="s">
        <v>162</v>
      </c>
      <c r="E2" s="45" t="s">
        <v>175</v>
      </c>
    </row>
    <row r="3" spans="2:5">
      <c r="B3" s="9" t="s">
        <v>170</v>
      </c>
      <c r="C3" s="58" t="s">
        <v>64</v>
      </c>
      <c r="D3" s="48" t="s">
        <v>125</v>
      </c>
      <c r="E3" s="9" t="str">
        <f>VLOOKUP('Case4.3'!D3,'Case4.5'!B:C,2,FALSE)</f>
        <v>PO支払</v>
      </c>
    </row>
    <row r="4" spans="2:5">
      <c r="B4" s="9" t="s">
        <v>170</v>
      </c>
      <c r="C4" s="58" t="s">
        <v>66</v>
      </c>
      <c r="D4" s="48" t="s">
        <v>125</v>
      </c>
      <c r="E4" s="9" t="str">
        <f>VLOOKUP('Case4.3'!D4,'Case4.5'!B:C,2,FALSE)</f>
        <v>PO支払</v>
      </c>
    </row>
    <row r="5" spans="2:5">
      <c r="B5" s="9" t="s">
        <v>170</v>
      </c>
      <c r="C5" s="58" t="s">
        <v>67</v>
      </c>
      <c r="D5" s="48" t="s">
        <v>125</v>
      </c>
      <c r="E5" s="9" t="str">
        <f>VLOOKUP('Case4.3'!D5,'Case4.5'!B:C,2,FALSE)</f>
        <v>PO支払</v>
      </c>
    </row>
    <row r="6" spans="2:5">
      <c r="B6" s="9" t="s">
        <v>170</v>
      </c>
      <c r="C6" s="58" t="s">
        <v>68</v>
      </c>
      <c r="D6" s="9" t="s">
        <v>125</v>
      </c>
      <c r="E6" s="9" t="str">
        <f>VLOOKUP('Case4.3'!D6,'Case4.5'!B:C,2,FALSE)</f>
        <v>PO支払</v>
      </c>
    </row>
    <row r="7" spans="2:5">
      <c r="B7" s="9" t="s">
        <v>169</v>
      </c>
      <c r="C7" s="58" t="s">
        <v>45</v>
      </c>
      <c r="D7" s="10" t="s">
        <v>121</v>
      </c>
      <c r="E7" s="9" t="str">
        <f>VLOOKUP('Case4.3'!D7,'Case4.5'!B:C,2,FALSE)</f>
        <v>売掛金回収</v>
      </c>
    </row>
    <row r="8" spans="2:5">
      <c r="B8" s="9" t="s">
        <v>169</v>
      </c>
      <c r="C8" s="58" t="s">
        <v>46</v>
      </c>
      <c r="D8" s="10" t="s">
        <v>121</v>
      </c>
      <c r="E8" s="9" t="str">
        <f>VLOOKUP('Case4.3'!D8,'Case4.5'!B:C,2,FALSE)</f>
        <v>売掛金回収</v>
      </c>
    </row>
    <row r="9" spans="2:5">
      <c r="B9" s="9" t="s">
        <v>169</v>
      </c>
      <c r="C9" s="58" t="s">
        <v>49</v>
      </c>
      <c r="D9" s="10" t="s">
        <v>121</v>
      </c>
      <c r="E9" s="9" t="str">
        <f>VLOOKUP('Case4.3'!D9,'Case4.5'!B:C,2,FALSE)</f>
        <v>売掛金回収</v>
      </c>
    </row>
    <row r="10" spans="2:5">
      <c r="B10" s="9" t="s">
        <v>169</v>
      </c>
      <c r="C10" s="58" t="s">
        <v>48</v>
      </c>
      <c r="D10" s="10" t="s">
        <v>121</v>
      </c>
      <c r="E10" s="9" t="str">
        <f>VLOOKUP('Case4.3'!D10,'Case4.5'!B:C,2,FALSE)</f>
        <v>売掛金回収</v>
      </c>
    </row>
    <row r="11" spans="2:5">
      <c r="B11" s="9" t="s">
        <v>169</v>
      </c>
      <c r="C11" s="58" t="s">
        <v>50</v>
      </c>
      <c r="D11" s="10" t="s">
        <v>121</v>
      </c>
      <c r="E11" s="9" t="str">
        <f>VLOOKUP('Case4.3'!D11,'Case4.5'!B:C,2,FALSE)</f>
        <v>売掛金回収</v>
      </c>
    </row>
    <row r="12" spans="2:5">
      <c r="B12" s="9" t="s">
        <v>169</v>
      </c>
      <c r="C12" s="58" t="s">
        <v>47</v>
      </c>
      <c r="D12" s="10" t="s">
        <v>121</v>
      </c>
      <c r="E12" s="9" t="str">
        <f>VLOOKUP('Case4.3'!D12,'Case4.5'!B:C,2,FALSE)</f>
        <v>売掛金回収</v>
      </c>
    </row>
    <row r="13" spans="2:5">
      <c r="B13" s="9" t="s">
        <v>172</v>
      </c>
      <c r="C13" s="58" t="s">
        <v>51</v>
      </c>
      <c r="D13" s="48" t="s">
        <v>129</v>
      </c>
      <c r="E13" s="9" t="str">
        <f>VLOOKUP('Case4.3'!D13,'Case4.5'!B:C,2,FALSE)</f>
        <v>人件費</v>
      </c>
    </row>
    <row r="14" spans="2:5">
      <c r="B14" s="9" t="s">
        <v>172</v>
      </c>
      <c r="C14" s="58" t="s">
        <v>52</v>
      </c>
      <c r="D14" s="48" t="s">
        <v>129</v>
      </c>
      <c r="E14" s="9" t="str">
        <f>VLOOKUP('Case4.3'!D14,'Case4.5'!B:C,2,FALSE)</f>
        <v>人件費</v>
      </c>
    </row>
    <row r="15" spans="2:5">
      <c r="B15" s="9" t="s">
        <v>172</v>
      </c>
      <c r="C15" s="58" t="s">
        <v>55</v>
      </c>
      <c r="D15" s="48" t="s">
        <v>118</v>
      </c>
      <c r="E15" s="9" t="str">
        <f>VLOOKUP('Case4.3'!D15,'Case4.5'!B:C,2,FALSE)</f>
        <v>国内送料、クーリエ、倉庫代</v>
      </c>
    </row>
    <row r="16" spans="2:5">
      <c r="B16" s="9" t="s">
        <v>172</v>
      </c>
      <c r="C16" s="59" t="s">
        <v>25</v>
      </c>
      <c r="D16" s="9" t="s">
        <v>118</v>
      </c>
      <c r="E16" s="9" t="str">
        <f>VLOOKUP('Case4.3'!D16,'Case4.5'!B:C,2,FALSE)</f>
        <v>国内送料、クーリエ、倉庫代</v>
      </c>
    </row>
    <row r="17" spans="2:5">
      <c r="B17" s="9" t="s">
        <v>172</v>
      </c>
      <c r="C17" s="58" t="s">
        <v>137</v>
      </c>
      <c r="D17" s="48" t="s">
        <v>118</v>
      </c>
      <c r="E17" s="9" t="str">
        <f>VLOOKUP('Case4.3'!D17,'Case4.5'!B:C,2,FALSE)</f>
        <v>国内送料、クーリエ、倉庫代</v>
      </c>
    </row>
    <row r="18" spans="2:5">
      <c r="B18" s="9" t="s">
        <v>172</v>
      </c>
      <c r="C18" s="59" t="s">
        <v>54</v>
      </c>
      <c r="D18" s="9" t="s">
        <v>127</v>
      </c>
      <c r="E18" s="9" t="str">
        <f>VLOOKUP('Case4.3'!D18,'Case4.5'!B:C,2,FALSE)</f>
        <v>海上運賃、航空運賃</v>
      </c>
    </row>
    <row r="19" spans="2:5">
      <c r="B19" s="9" t="s">
        <v>172</v>
      </c>
      <c r="C19" s="60" t="s">
        <v>58</v>
      </c>
      <c r="D19" s="9" t="s">
        <v>127</v>
      </c>
      <c r="E19" s="9" t="str">
        <f>VLOOKUP('Case4.3'!D19,'Case4.5'!B:C,2,FALSE)</f>
        <v>海上運賃、航空運賃</v>
      </c>
    </row>
    <row r="20" spans="2:5">
      <c r="B20" s="9" t="s">
        <v>172</v>
      </c>
      <c r="C20" s="58" t="s">
        <v>138</v>
      </c>
      <c r="D20" s="48" t="s">
        <v>127</v>
      </c>
      <c r="E20" s="9" t="str">
        <f>VLOOKUP('Case4.3'!D20,'Case4.5'!B:C,2,FALSE)</f>
        <v>海上運賃、航空運賃</v>
      </c>
    </row>
    <row r="21" spans="2:5">
      <c r="B21" s="9" t="s">
        <v>172</v>
      </c>
      <c r="C21" s="59" t="s">
        <v>56</v>
      </c>
      <c r="D21" s="48" t="s">
        <v>127</v>
      </c>
      <c r="E21" s="9" t="str">
        <f>VLOOKUP('Case4.3'!D21,'Case4.5'!B:C,2,FALSE)</f>
        <v>海上運賃、航空運賃</v>
      </c>
    </row>
    <row r="22" spans="2:5">
      <c r="B22" s="9" t="s">
        <v>172</v>
      </c>
      <c r="C22" s="58" t="s">
        <v>63</v>
      </c>
      <c r="D22" s="48" t="s">
        <v>123</v>
      </c>
      <c r="E22" s="9" t="str">
        <f>VLOOKUP('Case4.3'!D22,'Case4.5'!B:C,2,FALSE)</f>
        <v>事務所家賃</v>
      </c>
    </row>
    <row r="23" spans="2:5">
      <c r="B23" s="9" t="s">
        <v>172</v>
      </c>
      <c r="C23" s="58" t="s">
        <v>62</v>
      </c>
      <c r="D23" s="48" t="s">
        <v>124</v>
      </c>
      <c r="E23" s="9" t="str">
        <f>VLOOKUP('Case4.3'!D23,'Case4.5'!B:C,2,FALSE)</f>
        <v>通信費</v>
      </c>
    </row>
    <row r="24" spans="2:5">
      <c r="B24" s="9" t="s">
        <v>172</v>
      </c>
      <c r="C24" s="58" t="s">
        <v>139</v>
      </c>
      <c r="D24" s="48" t="s">
        <v>119</v>
      </c>
      <c r="E24" s="9" t="str">
        <f>VLOOKUP('Case4.3'!D24,'Case4.5'!B:C,2,FALSE)</f>
        <v>備品、消耗工具</v>
      </c>
    </row>
    <row r="25" spans="2:5">
      <c r="B25" s="9" t="s">
        <v>172</v>
      </c>
      <c r="C25" s="59" t="s">
        <v>159</v>
      </c>
      <c r="D25" s="48" t="s">
        <v>119</v>
      </c>
      <c r="E25" s="9" t="str">
        <f>VLOOKUP('Case4.3'!D25,'Case4.5'!B:C,2,FALSE)</f>
        <v>備品、消耗工具</v>
      </c>
    </row>
    <row r="26" spans="2:5">
      <c r="B26" s="9" t="s">
        <v>172</v>
      </c>
      <c r="C26" s="59" t="s">
        <v>24</v>
      </c>
      <c r="D26" s="9" t="s">
        <v>122</v>
      </c>
      <c r="E26" s="9" t="str">
        <f>VLOOKUP('Case4.3'!D26,'Case4.5'!B:C,2,FALSE)</f>
        <v>品質検査、測定費用</v>
      </c>
    </row>
    <row r="27" spans="2:5">
      <c r="B27" s="9" t="s">
        <v>172</v>
      </c>
      <c r="C27" s="59" t="s">
        <v>8</v>
      </c>
      <c r="D27" s="9" t="s">
        <v>122</v>
      </c>
      <c r="E27" s="9" t="str">
        <f>VLOOKUP('Case4.3'!D27,'Case4.5'!B:C,2,FALSE)</f>
        <v>品質検査、測定費用</v>
      </c>
    </row>
    <row r="28" spans="2:5">
      <c r="B28" s="9" t="s">
        <v>172</v>
      </c>
      <c r="C28" s="58" t="s">
        <v>59</v>
      </c>
      <c r="D28" s="48" t="s">
        <v>120</v>
      </c>
      <c r="E28" s="9" t="str">
        <f>VLOOKUP('Case4.3'!D28,'Case4.5'!B:C,2,FALSE)</f>
        <v>交通費、出張費</v>
      </c>
    </row>
    <row r="29" spans="2:5">
      <c r="B29" s="9" t="s">
        <v>172</v>
      </c>
      <c r="C29" s="58" t="s">
        <v>160</v>
      </c>
      <c r="D29" s="48" t="s">
        <v>120</v>
      </c>
      <c r="E29" s="9" t="str">
        <f>VLOOKUP('Case4.3'!D29,'Case4.5'!B:C,2,FALSE)</f>
        <v>交通費、出張費</v>
      </c>
    </row>
    <row r="30" spans="2:5">
      <c r="B30" s="9" t="s">
        <v>172</v>
      </c>
      <c r="C30" s="58" t="s">
        <v>140</v>
      </c>
      <c r="D30" s="48" t="s">
        <v>128</v>
      </c>
      <c r="E30" s="9" t="str">
        <f>VLOOKUP('Case4.3'!D30,'Case4.5'!B:C,2,FALSE)</f>
        <v>接待交際費</v>
      </c>
    </row>
    <row r="31" spans="2:5">
      <c r="B31" s="9" t="s">
        <v>172</v>
      </c>
      <c r="C31" s="58" t="s">
        <v>12</v>
      </c>
      <c r="D31" s="48" t="s">
        <v>128</v>
      </c>
      <c r="E31" s="9" t="str">
        <f>VLOOKUP('Case4.3'!D31,'Case4.5'!B:C,2,FALSE)</f>
        <v>接待交際費</v>
      </c>
    </row>
    <row r="32" spans="2:5">
      <c r="B32" s="9" t="s">
        <v>172</v>
      </c>
      <c r="C32" s="58" t="s">
        <v>61</v>
      </c>
      <c r="D32" s="48" t="s">
        <v>126</v>
      </c>
      <c r="E32" s="9" t="str">
        <f>VLOOKUP('Case4.3'!D32,'Case4.5'!B:C,2,FALSE)</f>
        <v>支払手数料</v>
      </c>
    </row>
    <row r="33" spans="2:5">
      <c r="B33" s="9" t="s">
        <v>172</v>
      </c>
      <c r="C33" s="59" t="s">
        <v>9</v>
      </c>
      <c r="D33" s="48" t="s">
        <v>126</v>
      </c>
      <c r="E33" s="9" t="str">
        <f>VLOOKUP('Case4.3'!D33,'Case4.5'!B:C,2,FALSE)</f>
        <v>支払手数料</v>
      </c>
    </row>
    <row r="34" spans="2:5">
      <c r="B34" s="9" t="s">
        <v>172</v>
      </c>
      <c r="C34" s="59" t="s">
        <v>158</v>
      </c>
      <c r="D34" s="48" t="s">
        <v>126</v>
      </c>
      <c r="E34" s="9" t="str">
        <f>VLOOKUP('Case4.3'!D34,'Case4.5'!B:C,2,FALSE)</f>
        <v>支払手数料</v>
      </c>
    </row>
    <row r="35" spans="2:5">
      <c r="C35" s="8"/>
      <c r="D35" s="8"/>
      <c r="E35" s="2"/>
    </row>
    <row r="36" spans="2:5">
      <c r="C36" s="10"/>
      <c r="D36" s="22"/>
      <c r="E36" s="2"/>
    </row>
    <row r="37" spans="2:5">
      <c r="C37" s="9"/>
      <c r="D37" s="21"/>
      <c r="E37" s="2"/>
    </row>
    <row r="38" spans="2:5">
      <c r="C38" s="9"/>
      <c r="D38" s="22"/>
      <c r="E38" s="2"/>
    </row>
    <row r="39" spans="2:5">
      <c r="C39"/>
      <c r="D39"/>
      <c r="E39" s="2"/>
    </row>
    <row r="40" spans="2:5">
      <c r="C40"/>
      <c r="D40"/>
      <c r="E40" s="2"/>
    </row>
    <row r="41" spans="2:5">
      <c r="C41"/>
      <c r="D41"/>
      <c r="E41" s="2"/>
    </row>
    <row r="42" spans="2:5">
      <c r="C42"/>
      <c r="D42"/>
      <c r="E42" s="2"/>
    </row>
    <row r="43" spans="2:5">
      <c r="C43"/>
      <c r="D43"/>
      <c r="E43" s="2"/>
    </row>
    <row r="44" spans="2:5">
      <c r="C44"/>
      <c r="D44"/>
      <c r="E44" s="2"/>
    </row>
    <row r="45" spans="2:5">
      <c r="C45"/>
      <c r="D45"/>
      <c r="E45" s="2"/>
    </row>
    <row r="46" spans="2:5">
      <c r="C46"/>
      <c r="D46"/>
      <c r="E46" s="2"/>
    </row>
    <row r="47" spans="2:5">
      <c r="C47"/>
      <c r="D47"/>
      <c r="E47" s="2"/>
    </row>
    <row r="48" spans="2:5">
      <c r="C48"/>
      <c r="D48"/>
      <c r="E48" s="2"/>
    </row>
    <row r="49" spans="3:5">
      <c r="C49"/>
      <c r="D49"/>
      <c r="E49" s="2"/>
    </row>
    <row r="50" spans="3:5">
      <c r="C50"/>
      <c r="D50"/>
      <c r="E50" s="2"/>
    </row>
    <row r="51" spans="3:5">
      <c r="C51"/>
      <c r="D51"/>
      <c r="E51" s="2"/>
    </row>
    <row r="52" spans="3:5">
      <c r="C52"/>
      <c r="D52"/>
      <c r="E52" s="2"/>
    </row>
    <row r="53" spans="3:5" customFormat="1"/>
    <row r="54" spans="3:5">
      <c r="C54"/>
      <c r="D54"/>
      <c r="E54" s="2"/>
    </row>
    <row r="55" spans="3:5">
      <c r="C55"/>
      <c r="D55"/>
      <c r="E55" s="2"/>
    </row>
    <row r="56" spans="3:5">
      <c r="C56"/>
      <c r="D56"/>
      <c r="E56" s="2"/>
    </row>
    <row r="57" spans="3:5" customFormat="1"/>
    <row r="58" spans="3:5" customFormat="1"/>
    <row r="59" spans="3:5" customFormat="1"/>
    <row r="60" spans="3:5" customFormat="1"/>
    <row r="61" spans="3:5" customFormat="1"/>
    <row r="62" spans="3:5" customFormat="1"/>
    <row r="63" spans="3:5" customFormat="1"/>
    <row r="64" spans="3:5" customFormat="1"/>
    <row r="65" spans="3:5" customFormat="1"/>
    <row r="66" spans="3:5" customFormat="1"/>
    <row r="67" spans="3:5" customFormat="1"/>
    <row r="68" spans="3:5" customFormat="1"/>
    <row r="69" spans="3:5" customFormat="1"/>
    <row r="70" spans="3:5">
      <c r="C70"/>
      <c r="D70"/>
      <c r="E70" s="2"/>
    </row>
    <row r="71" spans="3:5">
      <c r="C71"/>
      <c r="D71"/>
      <c r="E71" s="2"/>
    </row>
    <row r="72" spans="3:5">
      <c r="C72" s="9"/>
      <c r="D72" s="21"/>
      <c r="E72" s="2"/>
    </row>
  </sheetData>
  <sortState xmlns:xlrd2="http://schemas.microsoft.com/office/spreadsheetml/2017/richdata2" ref="C3:D35">
    <sortCondition ref="D3:D35"/>
  </sortState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3"/>
  <sheetViews>
    <sheetView topLeftCell="A5" zoomScaleNormal="100" workbookViewId="0">
      <selection activeCell="A5" sqref="A5"/>
    </sheetView>
  </sheetViews>
  <sheetFormatPr defaultRowHeight="18"/>
  <cols>
    <col min="1" max="1" width="1.4140625" style="2" customWidth="1"/>
    <col min="2" max="2" width="12.5" style="18" bestFit="1" customWidth="1"/>
    <col min="3" max="3" width="43.58203125" style="9" customWidth="1"/>
    <col min="4" max="6" width="10.6640625" style="3" bestFit="1" customWidth="1"/>
    <col min="7" max="7" width="8.08203125" style="2" customWidth="1"/>
    <col min="8" max="8" width="24.75" style="2" customWidth="1"/>
    <col min="9" max="9" width="28" style="2" customWidth="1"/>
    <col min="10" max="16384" width="8.6640625" style="2"/>
  </cols>
  <sheetData>
    <row r="1" spans="2:9">
      <c r="B1" s="20" t="s">
        <v>78</v>
      </c>
      <c r="D1" s="3" t="s">
        <v>167</v>
      </c>
    </row>
    <row r="2" spans="2:9">
      <c r="B2" s="18" t="s">
        <v>72</v>
      </c>
      <c r="G2" s="23"/>
      <c r="H2" s="23"/>
    </row>
    <row r="3" spans="2:9">
      <c r="B3" s="18" t="s">
        <v>76</v>
      </c>
      <c r="G3" s="23"/>
      <c r="H3" s="23"/>
    </row>
    <row r="4" spans="2:9">
      <c r="B4" s="18" t="s">
        <v>168</v>
      </c>
      <c r="G4" s="23"/>
      <c r="H4" s="23"/>
    </row>
    <row r="5" spans="2:9" ht="18.5" thickBot="1">
      <c r="B5" s="13" t="s">
        <v>26</v>
      </c>
      <c r="C5" s="19" t="s">
        <v>77</v>
      </c>
      <c r="D5" s="14" t="s">
        <v>74</v>
      </c>
      <c r="E5" s="14" t="s">
        <v>73</v>
      </c>
      <c r="F5" s="14" t="s">
        <v>75</v>
      </c>
      <c r="G5" s="43" t="s">
        <v>162</v>
      </c>
      <c r="H5" s="52" t="s">
        <v>175</v>
      </c>
      <c r="I5" s="19" t="s">
        <v>163</v>
      </c>
    </row>
    <row r="6" spans="2:9">
      <c r="B6" s="4">
        <v>44531</v>
      </c>
      <c r="C6" s="8"/>
      <c r="D6" s="1"/>
      <c r="E6" s="1"/>
      <c r="F6" s="5">
        <v>250000</v>
      </c>
      <c r="G6" s="53"/>
      <c r="H6" s="54"/>
      <c r="I6" s="8"/>
    </row>
    <row r="7" spans="2:9">
      <c r="B7" s="4">
        <v>44531</v>
      </c>
      <c r="C7" s="9" t="s">
        <v>130</v>
      </c>
      <c r="D7" s="5">
        <v>6000</v>
      </c>
      <c r="E7" s="5">
        <v>0</v>
      </c>
      <c r="F7" s="5">
        <f>F6-D7+E7</f>
        <v>244000</v>
      </c>
      <c r="G7" s="17" t="str">
        <f>IF(D7&lt;&gt;0,IF(COUNTIF(C7,"*CHGS*")&gt;=1,"3-061",VLOOKUP(I7,'Case4.3'!C:D,2,FALSE)),VLOOKUP(I7,'Case4.3'!C:D,2,FALSE))</f>
        <v>3-021</v>
      </c>
      <c r="H7" s="55" t="str">
        <f>VLOOKUP('Case4.4'!G7,'Case4.5'!B:C,2,FALSE)</f>
        <v>国内送料、クーリエ、倉庫代</v>
      </c>
      <c r="I7" s="9" t="s">
        <v>55</v>
      </c>
    </row>
    <row r="8" spans="2:9">
      <c r="B8" s="4">
        <v>44531</v>
      </c>
      <c r="C8" s="9" t="s">
        <v>131</v>
      </c>
      <c r="D8" s="5">
        <v>1200</v>
      </c>
      <c r="E8" s="5">
        <v>0</v>
      </c>
      <c r="F8" s="5">
        <f t="shared" ref="F8:F71" si="0">F7-D8+E8</f>
        <v>242800</v>
      </c>
      <c r="G8" s="17" t="str">
        <f>IF(D8&lt;&gt;0,IF(COUNTIF(C8,"*CHGS*")&gt;=1,"3-061",VLOOKUP(I8,'Case4.3'!C:D,2,FALSE)),VLOOKUP(I8,'Case4.3'!C:D,2,FALSE))</f>
        <v>3-034</v>
      </c>
      <c r="H8" s="55" t="str">
        <f>VLOOKUP('Case4.4'!G8,'Case4.5'!B:C,2,FALSE)</f>
        <v>備品、消耗工具</v>
      </c>
      <c r="I8" s="9" t="s">
        <v>139</v>
      </c>
    </row>
    <row r="9" spans="2:9">
      <c r="B9" s="4">
        <v>44531</v>
      </c>
      <c r="C9" s="9" t="s">
        <v>60</v>
      </c>
      <c r="D9" s="5">
        <v>2100</v>
      </c>
      <c r="E9" s="5">
        <v>0</v>
      </c>
      <c r="F9" s="5">
        <f t="shared" si="0"/>
        <v>240700</v>
      </c>
      <c r="G9" s="17" t="str">
        <f>IF(D9&lt;&gt;0,IF(COUNTIF(C9,"*CHGS*")&gt;=1,"3-061",VLOOKUP(I9,'Case4.3'!C:D,2,FALSE)),VLOOKUP(I9,'Case4.3'!C:D,2,FALSE))</f>
        <v>3-041</v>
      </c>
      <c r="H9" s="55" t="str">
        <f>VLOOKUP('Case4.4'!G9,'Case4.5'!B:C,2,FALSE)</f>
        <v>交通費、出張費</v>
      </c>
      <c r="I9" s="9" t="s">
        <v>59</v>
      </c>
    </row>
    <row r="10" spans="2:9">
      <c r="B10" s="4">
        <v>44531</v>
      </c>
      <c r="C10" s="10" t="s">
        <v>132</v>
      </c>
      <c r="D10" s="5">
        <v>0</v>
      </c>
      <c r="E10" s="5">
        <v>320000</v>
      </c>
      <c r="F10" s="5">
        <f t="shared" si="0"/>
        <v>560700</v>
      </c>
      <c r="G10" s="17" t="str">
        <f>IF(D10&lt;&gt;0,IF(COUNTIF(C10,"*CHGS*")&gt;=1,"3-061",VLOOKUP(I10,'Case4.3'!C:D,2,FALSE)),VLOOKUP(I10,'Case4.3'!C:D,2,FALSE))</f>
        <v>2-100</v>
      </c>
      <c r="H10" s="55" t="str">
        <f>VLOOKUP('Case4.4'!G10,'Case4.5'!B:C,2,FALSE)</f>
        <v>売掛金回収</v>
      </c>
      <c r="I10" s="9" t="s">
        <v>45</v>
      </c>
    </row>
    <row r="11" spans="2:9">
      <c r="B11" s="4">
        <v>44531</v>
      </c>
      <c r="C11" s="9" t="s">
        <v>13</v>
      </c>
      <c r="D11" s="5">
        <v>105</v>
      </c>
      <c r="E11" s="5">
        <v>0</v>
      </c>
      <c r="F11" s="5">
        <f t="shared" si="0"/>
        <v>560595</v>
      </c>
      <c r="G11" s="17" t="str">
        <f>IF(D11&lt;&gt;0,IF(COUNTIF(C11,"*CHGS*")&gt;=1,"3-061",VLOOKUP(I11,'Case4.3'!C:D,2,FALSE)),VLOOKUP(I11,'Case4.3'!C:D,2,FALSE))</f>
        <v>3-061</v>
      </c>
      <c r="H11" s="55" t="str">
        <f>VLOOKUP('Case4.4'!G11,'Case4.5'!B:C,2,FALSE)</f>
        <v>銀行手数料等</v>
      </c>
      <c r="I11" s="9" t="s">
        <v>53</v>
      </c>
    </row>
    <row r="12" spans="2:9">
      <c r="B12" s="4">
        <v>44531</v>
      </c>
      <c r="C12" s="10" t="s">
        <v>133</v>
      </c>
      <c r="D12" s="5">
        <v>0</v>
      </c>
      <c r="E12" s="5">
        <v>4480</v>
      </c>
      <c r="F12" s="5">
        <f t="shared" si="0"/>
        <v>565075</v>
      </c>
      <c r="G12" s="17" t="str">
        <f>IF(D12&lt;&gt;0,IF(COUNTIF(C12,"*CHGS*")&gt;=1,"3-061",VLOOKUP(I12,'Case4.3'!C:D,2,FALSE)),VLOOKUP(I12,'Case4.3'!C:D,2,FALSE))</f>
        <v>2-100</v>
      </c>
      <c r="H12" s="55" t="str">
        <f>VLOOKUP('Case4.4'!G12,'Case4.5'!B:C,2,FALSE)</f>
        <v>売掛金回収</v>
      </c>
      <c r="I12" s="9" t="s">
        <v>46</v>
      </c>
    </row>
    <row r="13" spans="2:9">
      <c r="B13" s="4">
        <v>44531</v>
      </c>
      <c r="C13" s="9" t="s">
        <v>7</v>
      </c>
      <c r="D13" s="5">
        <v>105</v>
      </c>
      <c r="E13" s="5">
        <v>0</v>
      </c>
      <c r="F13" s="5">
        <f t="shared" si="0"/>
        <v>564970</v>
      </c>
      <c r="G13" s="17" t="str">
        <f>IF(D13&lt;&gt;0,IF(COUNTIF(C13,"*CHGS*")&gt;=1,"3-061",VLOOKUP(I13,'Case4.3'!C:D,2,FALSE)),VLOOKUP(I13,'Case4.3'!C:D,2,FALSE))</f>
        <v>3-061</v>
      </c>
      <c r="H13" s="55" t="str">
        <f>VLOOKUP('Case4.4'!G13,'Case4.5'!B:C,2,FALSE)</f>
        <v>銀行手数料等</v>
      </c>
      <c r="I13" s="9"/>
    </row>
    <row r="14" spans="2:9">
      <c r="B14" s="4">
        <v>44531</v>
      </c>
      <c r="C14" s="11" t="s">
        <v>25</v>
      </c>
      <c r="D14" s="5">
        <v>25000</v>
      </c>
      <c r="E14" s="5">
        <v>0</v>
      </c>
      <c r="F14" s="5">
        <f t="shared" si="0"/>
        <v>539970</v>
      </c>
      <c r="G14" s="17" t="str">
        <f>IF(D14&lt;&gt;0,IF(COUNTIF(C14,"*CHGS*")&gt;=1,"3-061",VLOOKUP(I14,'Case4.3'!C:D,2,FALSE)),VLOOKUP(I14,'Case4.3'!C:D,2,FALSE))</f>
        <v>3-021</v>
      </c>
      <c r="H14" s="55" t="str">
        <f>VLOOKUP('Case4.4'!G14,'Case4.5'!B:C,2,FALSE)</f>
        <v>国内送料、クーリエ、倉庫代</v>
      </c>
      <c r="I14" s="11" t="s">
        <v>25</v>
      </c>
    </row>
    <row r="15" spans="2:9">
      <c r="B15" s="4">
        <v>44531</v>
      </c>
      <c r="C15" s="11" t="s">
        <v>24</v>
      </c>
      <c r="D15" s="5">
        <v>12000</v>
      </c>
      <c r="E15" s="5">
        <v>0</v>
      </c>
      <c r="F15" s="5">
        <f t="shared" si="0"/>
        <v>527970</v>
      </c>
      <c r="G15" s="17" t="str">
        <f>IF(D15&lt;&gt;0,IF(COUNTIF(C15,"*CHGS*")&gt;=1,"3-061",VLOOKUP(I15,'Case4.3'!C:D,2,FALSE)),VLOOKUP(I15,'Case4.3'!C:D,2,FALSE))</f>
        <v>3-035</v>
      </c>
      <c r="H15" s="55" t="str">
        <f>VLOOKUP('Case4.4'!G15,'Case4.5'!B:C,2,FALSE)</f>
        <v>品質検査、測定費用</v>
      </c>
      <c r="I15" s="11" t="s">
        <v>24</v>
      </c>
    </row>
    <row r="16" spans="2:9">
      <c r="B16" s="4">
        <v>44533</v>
      </c>
      <c r="C16" s="9" t="s">
        <v>141</v>
      </c>
      <c r="D16" s="5">
        <v>5000</v>
      </c>
      <c r="E16" s="5">
        <v>0</v>
      </c>
      <c r="F16" s="5">
        <f t="shared" si="0"/>
        <v>522970</v>
      </c>
      <c r="G16" s="17" t="str">
        <f>IF(D16&lt;&gt;0,IF(COUNTIF(C16,"*CHGS*")&gt;=1,"3-061",VLOOKUP(I16,'Case4.3'!C:D,2,FALSE)),VLOOKUP(I16,'Case4.3'!C:D,2,FALSE))</f>
        <v>3-031</v>
      </c>
      <c r="H16" s="55" t="str">
        <f>VLOOKUP('Case4.4'!G16,'Case4.5'!B:C,2,FALSE)</f>
        <v>事務所家賃</v>
      </c>
      <c r="I16" s="9" t="s">
        <v>63</v>
      </c>
    </row>
    <row r="17" spans="2:9">
      <c r="B17" s="4">
        <v>44533</v>
      </c>
      <c r="C17" s="9" t="s">
        <v>142</v>
      </c>
      <c r="D17" s="5">
        <v>1500</v>
      </c>
      <c r="E17" s="5"/>
      <c r="F17" s="5">
        <f t="shared" si="0"/>
        <v>521470</v>
      </c>
      <c r="G17" s="17" t="str">
        <f>IF(D17&lt;&gt;0,IF(COUNTIF(C17,"*CHGS*")&gt;=1,"3-061",VLOOKUP(I17,'Case4.3'!C:D,2,FALSE)),VLOOKUP(I17,'Case4.3'!C:D,2,FALSE))</f>
        <v>3-032</v>
      </c>
      <c r="H17" s="55" t="str">
        <f>VLOOKUP('Case4.4'!G17,'Case4.5'!B:C,2,FALSE)</f>
        <v>通信費</v>
      </c>
      <c r="I17" s="9" t="s">
        <v>62</v>
      </c>
    </row>
    <row r="18" spans="2:9">
      <c r="B18" s="4">
        <v>44533</v>
      </c>
      <c r="C18" s="9" t="s">
        <v>64</v>
      </c>
      <c r="D18" s="5">
        <v>300000</v>
      </c>
      <c r="E18" s="5">
        <v>0</v>
      </c>
      <c r="F18" s="5">
        <f t="shared" si="0"/>
        <v>221470</v>
      </c>
      <c r="G18" s="17" t="str">
        <f>IF(D18&lt;&gt;0,IF(COUNTIF(C18,"*CHGS*")&gt;=1,"3-061",VLOOKUP(I18,'Case4.3'!C:D,2,FALSE)),VLOOKUP(I18,'Case4.3'!C:D,2,FALSE))</f>
        <v>1-100</v>
      </c>
      <c r="H18" s="55" t="str">
        <f>VLOOKUP('Case4.4'!G18,'Case4.5'!B:C,2,FALSE)</f>
        <v>PO支払</v>
      </c>
      <c r="I18" s="9" t="s">
        <v>64</v>
      </c>
    </row>
    <row r="19" spans="2:9">
      <c r="B19" s="4">
        <v>44536</v>
      </c>
      <c r="C19" s="9" t="s">
        <v>143</v>
      </c>
      <c r="D19" s="5">
        <v>6000</v>
      </c>
      <c r="E19" s="5">
        <v>0</v>
      </c>
      <c r="F19" s="5">
        <f t="shared" si="0"/>
        <v>215470</v>
      </c>
      <c r="G19" s="17" t="str">
        <f>IF(D19&lt;&gt;0,IF(COUNTIF(C19,"*CHGS*")&gt;=1,"3-061",VLOOKUP(I19,'Case4.3'!C:D,2,FALSE)),VLOOKUP(I19,'Case4.3'!C:D,2,FALSE))</f>
        <v>3-021</v>
      </c>
      <c r="H19" s="55" t="str">
        <f>VLOOKUP('Case4.4'!G19,'Case4.5'!B:C,2,FALSE)</f>
        <v>国内送料、クーリエ、倉庫代</v>
      </c>
      <c r="I19" s="9" t="s">
        <v>55</v>
      </c>
    </row>
    <row r="20" spans="2:9">
      <c r="B20" s="4">
        <v>44536</v>
      </c>
      <c r="C20" s="9" t="s">
        <v>144</v>
      </c>
      <c r="D20" s="5">
        <v>12000</v>
      </c>
      <c r="E20" s="5">
        <v>0</v>
      </c>
      <c r="F20" s="5">
        <f t="shared" si="0"/>
        <v>203470</v>
      </c>
      <c r="G20" s="17" t="str">
        <f>IF(D20&lt;&gt;0,IF(COUNTIF(C20,"*CHGS*")&gt;=1,"3-061",VLOOKUP(I20,'Case4.3'!C:D,2,FALSE)),VLOOKUP(I20,'Case4.3'!C:D,2,FALSE))</f>
        <v>3-051</v>
      </c>
      <c r="H20" s="55" t="str">
        <f>VLOOKUP('Case4.4'!G20,'Case4.5'!B:C,2,FALSE)</f>
        <v>支払手数料</v>
      </c>
      <c r="I20" s="9" t="s">
        <v>61</v>
      </c>
    </row>
    <row r="21" spans="2:9">
      <c r="B21" s="4">
        <v>44536</v>
      </c>
      <c r="C21" s="10" t="s">
        <v>134</v>
      </c>
      <c r="D21" s="5">
        <v>0</v>
      </c>
      <c r="E21" s="5">
        <v>76800</v>
      </c>
      <c r="F21" s="5">
        <f t="shared" si="0"/>
        <v>280270</v>
      </c>
      <c r="G21" s="17" t="str">
        <f>IF(D21&lt;&gt;0,IF(COUNTIF(C21,"*CHGS*")&gt;=1,"3-061",VLOOKUP(I21,'Case4.3'!C:D,2,FALSE)),VLOOKUP(I21,'Case4.3'!C:D,2,FALSE))</f>
        <v>2-100</v>
      </c>
      <c r="H21" s="55" t="str">
        <f>VLOOKUP('Case4.4'!G21,'Case4.5'!B:C,2,FALSE)</f>
        <v>売掛金回収</v>
      </c>
      <c r="I21" s="9" t="s">
        <v>49</v>
      </c>
    </row>
    <row r="22" spans="2:9">
      <c r="B22" s="4">
        <v>44536</v>
      </c>
      <c r="C22" s="9" t="s">
        <v>1</v>
      </c>
      <c r="D22" s="5">
        <v>105</v>
      </c>
      <c r="E22" s="5">
        <v>0</v>
      </c>
      <c r="F22" s="5">
        <f t="shared" si="0"/>
        <v>280165</v>
      </c>
      <c r="G22" s="17" t="str">
        <f>IF(D22&lt;&gt;0,IF(COUNTIF(C22,"*CHGS*")&gt;=1,"3-061",VLOOKUP(I22,'Case4.3'!C:D,2,FALSE)),VLOOKUP(I22,'Case4.3'!C:D,2,FALSE))</f>
        <v>3-061</v>
      </c>
      <c r="H22" s="55" t="str">
        <f>VLOOKUP('Case4.4'!G22,'Case4.5'!B:C,2,FALSE)</f>
        <v>銀行手数料等</v>
      </c>
      <c r="I22" s="9"/>
    </row>
    <row r="23" spans="2:9">
      <c r="B23" s="4">
        <v>44536</v>
      </c>
      <c r="C23" s="10" t="s">
        <v>135</v>
      </c>
      <c r="D23" s="5">
        <v>0</v>
      </c>
      <c r="E23" s="5">
        <v>224000</v>
      </c>
      <c r="F23" s="5">
        <f t="shared" si="0"/>
        <v>504165</v>
      </c>
      <c r="G23" s="17" t="str">
        <f>IF(D23&lt;&gt;0,IF(COUNTIF(C23,"*CHGS*")&gt;=1,"3-061",VLOOKUP(I23,'Case4.3'!C:D,2,FALSE)),VLOOKUP(I23,'Case4.3'!C:D,2,FALSE))</f>
        <v>2-100</v>
      </c>
      <c r="H23" s="55" t="str">
        <f>VLOOKUP('Case4.4'!G23,'Case4.5'!B:C,2,FALSE)</f>
        <v>売掛金回収</v>
      </c>
      <c r="I23" s="9" t="s">
        <v>48</v>
      </c>
    </row>
    <row r="24" spans="2:9">
      <c r="B24" s="4">
        <v>44536</v>
      </c>
      <c r="C24" s="9" t="s">
        <v>16</v>
      </c>
      <c r="D24" s="5">
        <v>105</v>
      </c>
      <c r="E24" s="5">
        <v>0</v>
      </c>
      <c r="F24" s="5">
        <f t="shared" si="0"/>
        <v>504060</v>
      </c>
      <c r="G24" s="17" t="str">
        <f>IF(D24&lt;&gt;0,IF(COUNTIF(C24,"*CHGS*")&gt;=1,"3-061",VLOOKUP(I24,'Case4.3'!C:D,2,FALSE)),VLOOKUP(I24,'Case4.3'!C:D,2,FALSE))</f>
        <v>3-061</v>
      </c>
      <c r="H24" s="55" t="str">
        <f>VLOOKUP('Case4.4'!G24,'Case4.5'!B:C,2,FALSE)</f>
        <v>銀行手数料等</v>
      </c>
      <c r="I24" s="9"/>
    </row>
    <row r="25" spans="2:9">
      <c r="B25" s="4">
        <v>44536</v>
      </c>
      <c r="C25" s="11" t="s">
        <v>8</v>
      </c>
      <c r="D25" s="5">
        <v>55000</v>
      </c>
      <c r="E25" s="5">
        <v>0</v>
      </c>
      <c r="F25" s="5">
        <f t="shared" si="0"/>
        <v>449060</v>
      </c>
      <c r="G25" s="17" t="str">
        <f>IF(D25&lt;&gt;0,IF(COUNTIF(C25,"*CHGS*")&gt;=1,"3-061",VLOOKUP(I25,'Case4.3'!C:D,2,FALSE)),VLOOKUP(I25,'Case4.3'!C:D,2,FALSE))</f>
        <v>3-035</v>
      </c>
      <c r="H25" s="55" t="str">
        <f>VLOOKUP('Case4.4'!G25,'Case4.5'!B:C,2,FALSE)</f>
        <v>品質検査、測定費用</v>
      </c>
      <c r="I25" s="11" t="s">
        <v>8</v>
      </c>
    </row>
    <row r="26" spans="2:9">
      <c r="B26" s="4">
        <v>44536</v>
      </c>
      <c r="C26" s="11" t="s">
        <v>54</v>
      </c>
      <c r="D26" s="5">
        <v>43000</v>
      </c>
      <c r="E26" s="5">
        <v>0</v>
      </c>
      <c r="F26" s="5">
        <f t="shared" si="0"/>
        <v>406060</v>
      </c>
      <c r="G26" s="17" t="str">
        <f>IF(D26&lt;&gt;0,IF(COUNTIF(C26,"*CHGS*")&gt;=1,"3-061",VLOOKUP(I26,'Case4.3'!C:D,2,FALSE)),VLOOKUP(I26,'Case4.3'!C:D,2,FALSE))</f>
        <v>3-022</v>
      </c>
      <c r="H26" s="55" t="str">
        <f>VLOOKUP('Case4.4'!G26,'Case4.5'!B:C,2,FALSE)</f>
        <v>海上運賃、航空運賃</v>
      </c>
      <c r="I26" s="11" t="s">
        <v>54</v>
      </c>
    </row>
    <row r="27" spans="2:9">
      <c r="B27" s="4">
        <v>44539</v>
      </c>
      <c r="C27" s="9" t="s">
        <v>67</v>
      </c>
      <c r="D27" s="5">
        <v>160000</v>
      </c>
      <c r="E27" s="5">
        <v>0</v>
      </c>
      <c r="F27" s="5">
        <f t="shared" si="0"/>
        <v>246060</v>
      </c>
      <c r="G27" s="17" t="str">
        <f>IF(D27&lt;&gt;0,IF(COUNTIF(C27,"*CHGS*")&gt;=1,"3-061",VLOOKUP(I27,'Case4.3'!C:D,2,FALSE)),VLOOKUP(I27,'Case4.3'!C:D,2,FALSE))</f>
        <v>1-100</v>
      </c>
      <c r="H27" s="55" t="str">
        <f>VLOOKUP('Case4.4'!G27,'Case4.5'!B:C,2,FALSE)</f>
        <v>PO支払</v>
      </c>
      <c r="I27" s="9" t="s">
        <v>67</v>
      </c>
    </row>
    <row r="28" spans="2:9">
      <c r="B28" s="4">
        <v>44540</v>
      </c>
      <c r="C28" s="9" t="s">
        <v>145</v>
      </c>
      <c r="D28" s="5">
        <v>8000</v>
      </c>
      <c r="E28" s="5">
        <v>0</v>
      </c>
      <c r="F28" s="5">
        <f t="shared" si="0"/>
        <v>238060</v>
      </c>
      <c r="G28" s="17" t="str">
        <f>IF(D28&lt;&gt;0,IF(COUNTIF(C28,"*CHGS*")&gt;=1,"3-061",VLOOKUP(I28,'Case4.3'!C:D,2,FALSE)),VLOOKUP(I28,'Case4.3'!C:D,2,FALSE))</f>
        <v>3-021</v>
      </c>
      <c r="H28" s="55" t="str">
        <f>VLOOKUP('Case4.4'!G28,'Case4.5'!B:C,2,FALSE)</f>
        <v>国内送料、クーリエ、倉庫代</v>
      </c>
      <c r="I28" s="9" t="s">
        <v>55</v>
      </c>
    </row>
    <row r="29" spans="2:9">
      <c r="B29" s="4">
        <v>44540</v>
      </c>
      <c r="C29" s="9" t="s">
        <v>146</v>
      </c>
      <c r="D29" s="5">
        <v>30000</v>
      </c>
      <c r="E29" s="5">
        <v>0</v>
      </c>
      <c r="F29" s="5">
        <f t="shared" si="0"/>
        <v>208060</v>
      </c>
      <c r="G29" s="17" t="str">
        <f>IF(D29&lt;&gt;0,IF(COUNTIF(C29,"*CHGS*")&gt;=1,"3-061",VLOOKUP(I29,'Case4.3'!C:D,2,FALSE)),VLOOKUP(I29,'Case4.3'!C:D,2,FALSE))</f>
        <v>3-042</v>
      </c>
      <c r="H29" s="55" t="str">
        <f>VLOOKUP('Case4.4'!G29,'Case4.5'!B:C,2,FALSE)</f>
        <v>接待交際費</v>
      </c>
      <c r="I29" s="9" t="s">
        <v>140</v>
      </c>
    </row>
    <row r="30" spans="2:9">
      <c r="B30" s="4">
        <v>44544</v>
      </c>
      <c r="C30" s="12" t="s">
        <v>58</v>
      </c>
      <c r="D30" s="5">
        <v>13000</v>
      </c>
      <c r="E30" s="5">
        <v>0</v>
      </c>
      <c r="F30" s="5">
        <f t="shared" si="0"/>
        <v>195060</v>
      </c>
      <c r="G30" s="17" t="str">
        <f>IF(D30&lt;&gt;0,IF(COUNTIF(C30,"*CHGS*")&gt;=1,"3-061",VLOOKUP(I30,'Case4.3'!C:D,2,FALSE)),VLOOKUP(I30,'Case4.3'!C:D,2,FALSE))</f>
        <v>3-022</v>
      </c>
      <c r="H30" s="55" t="str">
        <f>VLOOKUP('Case4.4'!G30,'Case4.5'!B:C,2,FALSE)</f>
        <v>海上運賃、航空運賃</v>
      </c>
      <c r="I30" s="12" t="s">
        <v>58</v>
      </c>
    </row>
    <row r="31" spans="2:9">
      <c r="B31" s="4">
        <v>44544</v>
      </c>
      <c r="C31" s="9" t="s">
        <v>65</v>
      </c>
      <c r="D31" s="5">
        <v>92000</v>
      </c>
      <c r="E31" s="5">
        <v>0</v>
      </c>
      <c r="F31" s="5">
        <f t="shared" si="0"/>
        <v>103060</v>
      </c>
      <c r="G31" s="17" t="str">
        <f>IF(D31&lt;&gt;0,IF(COUNTIF(C31,"*CHGS*")&gt;=1,"3-061",VLOOKUP(I31,'Case4.3'!C:D,2,FALSE)),VLOOKUP(I31,'Case4.3'!C:D,2,FALSE))</f>
        <v>1-100</v>
      </c>
      <c r="H31" s="55" t="str">
        <f>VLOOKUP('Case4.4'!G31,'Case4.5'!B:C,2,FALSE)</f>
        <v>PO支払</v>
      </c>
      <c r="I31" s="9" t="s">
        <v>66</v>
      </c>
    </row>
    <row r="32" spans="2:9">
      <c r="B32" s="4">
        <v>44544</v>
      </c>
      <c r="C32" s="10" t="s">
        <v>69</v>
      </c>
      <c r="D32" s="5">
        <v>0</v>
      </c>
      <c r="E32" s="5">
        <v>332800</v>
      </c>
      <c r="F32" s="5">
        <f t="shared" si="0"/>
        <v>435860</v>
      </c>
      <c r="G32" s="17" t="str">
        <f>IF(D32&lt;&gt;0,IF(COUNTIF(C32,"*CHGS*")&gt;=1,"3-061",VLOOKUP(I32,'Case4.3'!C:D,2,FALSE)),VLOOKUP(I32,'Case4.3'!C:D,2,FALSE))</f>
        <v>2-100</v>
      </c>
      <c r="H32" s="55" t="str">
        <f>VLOOKUP('Case4.4'!G32,'Case4.5'!B:C,2,FALSE)</f>
        <v>売掛金回収</v>
      </c>
      <c r="I32" s="9" t="s">
        <v>48</v>
      </c>
    </row>
    <row r="33" spans="2:9">
      <c r="B33" s="4">
        <v>44544</v>
      </c>
      <c r="C33" s="9" t="s">
        <v>16</v>
      </c>
      <c r="D33" s="5">
        <v>105</v>
      </c>
      <c r="E33" s="5">
        <v>0</v>
      </c>
      <c r="F33" s="5">
        <f t="shared" si="0"/>
        <v>435755</v>
      </c>
      <c r="G33" s="17" t="str">
        <f>IF(D33&lt;&gt;0,IF(COUNTIF(C33,"*CHGS*")&gt;=1,"3-061",VLOOKUP(I33,'Case4.3'!C:D,2,FALSE)),VLOOKUP(I33,'Case4.3'!C:D,2,FALSE))</f>
        <v>3-061</v>
      </c>
      <c r="H33" s="55" t="str">
        <f>VLOOKUP('Case4.4'!G33,'Case4.5'!B:C,2,FALSE)</f>
        <v>銀行手数料等</v>
      </c>
      <c r="I33" s="9"/>
    </row>
    <row r="34" spans="2:9">
      <c r="B34" s="4">
        <v>44544</v>
      </c>
      <c r="C34" s="10" t="s">
        <v>70</v>
      </c>
      <c r="D34" s="5">
        <v>0</v>
      </c>
      <c r="E34" s="5">
        <v>25600</v>
      </c>
      <c r="F34" s="5">
        <f t="shared" si="0"/>
        <v>461355</v>
      </c>
      <c r="G34" s="17" t="str">
        <f>IF(D34&lt;&gt;0,IF(COUNTIF(C34,"*CHGS*")&gt;=1,"3-061",VLOOKUP(I34,'Case4.3'!C:D,2,FALSE)),VLOOKUP(I34,'Case4.3'!C:D,2,FALSE))</f>
        <v>2-100</v>
      </c>
      <c r="H34" s="55" t="str">
        <f>VLOOKUP('Case4.4'!G34,'Case4.5'!B:C,2,FALSE)</f>
        <v>売掛金回収</v>
      </c>
      <c r="I34" s="9" t="s">
        <v>46</v>
      </c>
    </row>
    <row r="35" spans="2:9">
      <c r="B35" s="4">
        <v>44544</v>
      </c>
      <c r="C35" s="9" t="s">
        <v>2</v>
      </c>
      <c r="D35" s="5">
        <v>105</v>
      </c>
      <c r="E35" s="5">
        <v>0</v>
      </c>
      <c r="F35" s="5">
        <f t="shared" si="0"/>
        <v>461250</v>
      </c>
      <c r="G35" s="17" t="str">
        <f>IF(D35&lt;&gt;0,IF(COUNTIF(C35,"*CHGS*")&gt;=1,"3-061",VLOOKUP(I35,'Case4.3'!C:D,2,FALSE)),VLOOKUP(I35,'Case4.3'!C:D,2,FALSE))</f>
        <v>3-061</v>
      </c>
      <c r="H35" s="55" t="str">
        <f>VLOOKUP('Case4.4'!G35,'Case4.5'!B:C,2,FALSE)</f>
        <v>銀行手数料等</v>
      </c>
      <c r="I35" s="9"/>
    </row>
    <row r="36" spans="2:9">
      <c r="B36" s="4">
        <v>44545</v>
      </c>
      <c r="C36" s="9" t="s">
        <v>147</v>
      </c>
      <c r="D36" s="5">
        <v>28650</v>
      </c>
      <c r="E36" s="5">
        <v>0</v>
      </c>
      <c r="F36" s="5">
        <f t="shared" si="0"/>
        <v>432600</v>
      </c>
      <c r="G36" s="17" t="str">
        <f>IF(D36&lt;&gt;0,IF(COUNTIF(C36,"*CHGS*")&gt;=1,"3-061",VLOOKUP(I36,'Case4.3'!C:D,2,FALSE)),VLOOKUP(I36,'Case4.3'!C:D,2,FALSE))</f>
        <v>3-021</v>
      </c>
      <c r="H36" s="55" t="str">
        <f>VLOOKUP('Case4.4'!G36,'Case4.5'!B:C,2,FALSE)</f>
        <v>国内送料、クーリエ、倉庫代</v>
      </c>
      <c r="I36" s="11" t="s">
        <v>25</v>
      </c>
    </row>
    <row r="37" spans="2:9">
      <c r="B37" s="4">
        <v>44545</v>
      </c>
      <c r="C37" s="9" t="s">
        <v>148</v>
      </c>
      <c r="D37" s="5">
        <v>650</v>
      </c>
      <c r="E37" s="5">
        <v>0</v>
      </c>
      <c r="F37" s="5">
        <f t="shared" si="0"/>
        <v>431950</v>
      </c>
      <c r="G37" s="17" t="str">
        <f>IF(D37&lt;&gt;0,IF(COUNTIF(C37,"*CHGS*")&gt;=1,"3-061",VLOOKUP(I37,'Case4.3'!C:D,2,FALSE)),VLOOKUP(I37,'Case4.3'!C:D,2,FALSE))</f>
        <v>3-021</v>
      </c>
      <c r="H37" s="55" t="str">
        <f>VLOOKUP('Case4.4'!G37,'Case4.5'!B:C,2,FALSE)</f>
        <v>国内送料、クーリエ、倉庫代</v>
      </c>
      <c r="I37" s="9" t="s">
        <v>55</v>
      </c>
    </row>
    <row r="38" spans="2:9">
      <c r="B38" s="4">
        <v>44545</v>
      </c>
      <c r="C38" s="9" t="s">
        <v>149</v>
      </c>
      <c r="D38" s="5">
        <v>23000</v>
      </c>
      <c r="E38" s="5">
        <v>0</v>
      </c>
      <c r="F38" s="5">
        <f t="shared" si="0"/>
        <v>408950</v>
      </c>
      <c r="G38" s="17" t="str">
        <f>IF(D38&lt;&gt;0,IF(COUNTIF(C38,"*CHGS*")&gt;=1,"3-061",VLOOKUP(I38,'Case4.3'!C:D,2,FALSE)),VLOOKUP(I38,'Case4.3'!C:D,2,FALSE))</f>
        <v>3-022</v>
      </c>
      <c r="H38" s="55" t="str">
        <f>VLOOKUP('Case4.4'!G38,'Case4.5'!B:C,2,FALSE)</f>
        <v>海上運賃、航空運賃</v>
      </c>
      <c r="I38" s="9" t="s">
        <v>138</v>
      </c>
    </row>
    <row r="39" spans="2:9">
      <c r="B39" s="4">
        <v>44545</v>
      </c>
      <c r="C39" s="9" t="s">
        <v>150</v>
      </c>
      <c r="D39" s="5">
        <v>5300</v>
      </c>
      <c r="E39" s="5">
        <v>0</v>
      </c>
      <c r="F39" s="5">
        <f t="shared" si="0"/>
        <v>403650</v>
      </c>
      <c r="G39" s="17" t="str">
        <f>IF(D39&lt;&gt;0,IF(COUNTIF(C39,"*CHGS*")&gt;=1,"3-061",VLOOKUP(I39,'Case4.3'!C:D,2,FALSE)),VLOOKUP(I39,'Case4.3'!C:D,2,FALSE))</f>
        <v>3-022</v>
      </c>
      <c r="H39" s="55" t="str">
        <f>VLOOKUP('Case4.4'!G39,'Case4.5'!B:C,2,FALSE)</f>
        <v>海上運賃、航空運賃</v>
      </c>
      <c r="I39" s="11" t="s">
        <v>54</v>
      </c>
    </row>
    <row r="40" spans="2:9">
      <c r="B40" s="4">
        <v>44545</v>
      </c>
      <c r="C40" s="10" t="s">
        <v>151</v>
      </c>
      <c r="D40" s="5">
        <v>0</v>
      </c>
      <c r="E40" s="5">
        <v>236800</v>
      </c>
      <c r="F40" s="5">
        <f t="shared" si="0"/>
        <v>640450</v>
      </c>
      <c r="G40" s="17" t="str">
        <f>IF(D40&lt;&gt;0,IF(COUNTIF(C40,"*CHGS*")&gt;=1,"3-061",VLOOKUP(I40,'Case4.3'!C:D,2,FALSE)),VLOOKUP(I40,'Case4.3'!C:D,2,FALSE))</f>
        <v>2-100</v>
      </c>
      <c r="H40" s="55" t="str">
        <f>VLOOKUP('Case4.4'!G40,'Case4.5'!B:C,2,FALSE)</f>
        <v>売掛金回収</v>
      </c>
      <c r="I40" s="9" t="s">
        <v>50</v>
      </c>
    </row>
    <row r="41" spans="2:9">
      <c r="B41" s="4">
        <v>44545</v>
      </c>
      <c r="C41" s="9" t="s">
        <v>3</v>
      </c>
      <c r="D41" s="5">
        <v>105</v>
      </c>
      <c r="E41" s="5">
        <v>0</v>
      </c>
      <c r="F41" s="5">
        <f t="shared" si="0"/>
        <v>640345</v>
      </c>
      <c r="G41" s="17" t="str">
        <f>IF(D41&lt;&gt;0,IF(COUNTIF(C41,"*CHGS*")&gt;=1,"3-061",VLOOKUP(I41,'Case4.3'!C:D,2,FALSE)),VLOOKUP(I41,'Case4.3'!C:D,2,FALSE))</f>
        <v>3-061</v>
      </c>
      <c r="H41" s="55" t="str">
        <f>VLOOKUP('Case4.4'!G41,'Case4.5'!B:C,2,FALSE)</f>
        <v>銀行手数料等</v>
      </c>
      <c r="I41" s="9"/>
    </row>
    <row r="42" spans="2:9">
      <c r="B42" s="4">
        <v>44545</v>
      </c>
      <c r="C42" s="9" t="s">
        <v>67</v>
      </c>
      <c r="D42" s="5">
        <v>55000</v>
      </c>
      <c r="E42" s="5">
        <v>0</v>
      </c>
      <c r="F42" s="5">
        <f t="shared" si="0"/>
        <v>585345</v>
      </c>
      <c r="G42" s="17" t="str">
        <f>IF(D42&lt;&gt;0,IF(COUNTIF(C42,"*CHGS*")&gt;=1,"3-061",VLOOKUP(I42,'Case4.3'!C:D,2,FALSE)),VLOOKUP(I42,'Case4.3'!C:D,2,FALSE))</f>
        <v>1-100</v>
      </c>
      <c r="H42" s="55" t="str">
        <f>VLOOKUP('Case4.4'!G42,'Case4.5'!B:C,2,FALSE)</f>
        <v>PO支払</v>
      </c>
      <c r="I42" s="9" t="s">
        <v>67</v>
      </c>
    </row>
    <row r="43" spans="2:9">
      <c r="B43" s="4">
        <v>44545</v>
      </c>
      <c r="C43" s="9" t="s">
        <v>68</v>
      </c>
      <c r="D43" s="5">
        <v>114000</v>
      </c>
      <c r="E43" s="5">
        <v>0</v>
      </c>
      <c r="F43" s="5">
        <f t="shared" si="0"/>
        <v>471345</v>
      </c>
      <c r="G43" s="17" t="str">
        <f>IF(D43&lt;&gt;0,IF(COUNTIF(C43,"*CHGS*")&gt;=1,"3-061",VLOOKUP(I43,'Case4.3'!C:D,2,FALSE)),VLOOKUP(I43,'Case4.3'!C:D,2,FALSE))</f>
        <v>1-100</v>
      </c>
      <c r="H43" s="55" t="str">
        <f>VLOOKUP('Case4.4'!G43,'Case4.5'!B:C,2,FALSE)</f>
        <v>PO支払</v>
      </c>
      <c r="I43" s="9" t="s">
        <v>68</v>
      </c>
    </row>
    <row r="44" spans="2:9">
      <c r="B44" s="4">
        <v>44545</v>
      </c>
      <c r="C44" s="11" t="s">
        <v>9</v>
      </c>
      <c r="D44" s="5">
        <v>14815</v>
      </c>
      <c r="E44" s="5">
        <v>0</v>
      </c>
      <c r="F44" s="5">
        <f t="shared" si="0"/>
        <v>456530</v>
      </c>
      <c r="G44" s="17" t="str">
        <f>IF(D44&lt;&gt;0,IF(COUNTIF(C44,"*CHGS*")&gt;=1,"3-061",VLOOKUP(I44,'Case4.3'!C:D,2,FALSE)),VLOOKUP(I44,'Case4.3'!C:D,2,FALSE))</f>
        <v>3-051</v>
      </c>
      <c r="H44" s="55" t="str">
        <f>VLOOKUP('Case4.4'!G44,'Case4.5'!B:C,2,FALSE)</f>
        <v>支払手数料</v>
      </c>
      <c r="I44" s="11" t="s">
        <v>9</v>
      </c>
    </row>
    <row r="45" spans="2:9">
      <c r="B45" s="4">
        <v>44545</v>
      </c>
      <c r="C45" s="11" t="s">
        <v>10</v>
      </c>
      <c r="D45" s="5">
        <v>12000</v>
      </c>
      <c r="E45" s="5">
        <v>0</v>
      </c>
      <c r="F45" s="5">
        <f t="shared" si="0"/>
        <v>444530</v>
      </c>
      <c r="G45" s="17" t="str">
        <f>IF(D45&lt;&gt;0,IF(COUNTIF(C45,"*CHGS*")&gt;=1,"3-061",VLOOKUP(I45,'Case4.3'!C:D,2,FALSE)),VLOOKUP(I45,'Case4.3'!C:D,2,FALSE))</f>
        <v>3-051</v>
      </c>
      <c r="H45" s="55" t="str">
        <f>VLOOKUP('Case4.4'!G45,'Case4.5'!B:C,2,FALSE)</f>
        <v>支払手数料</v>
      </c>
      <c r="I45" s="11" t="s">
        <v>158</v>
      </c>
    </row>
    <row r="46" spans="2:9">
      <c r="B46" s="4">
        <v>44546</v>
      </c>
      <c r="C46" s="9" t="s">
        <v>18</v>
      </c>
      <c r="D46" s="5">
        <v>4500</v>
      </c>
      <c r="E46" s="5">
        <v>0</v>
      </c>
      <c r="F46" s="5">
        <f t="shared" si="0"/>
        <v>440030</v>
      </c>
      <c r="G46" s="17" t="str">
        <f>IF(D46&lt;&gt;0,IF(COUNTIF(C46,"*CHGS*")&gt;=1,"3-061",VLOOKUP(I46,'Case4.3'!C:D,2,FALSE)),VLOOKUP(I46,'Case4.3'!C:D,2,FALSE))</f>
        <v>3-021</v>
      </c>
      <c r="H46" s="55" t="str">
        <f>VLOOKUP('Case4.4'!G46,'Case4.5'!B:C,2,FALSE)</f>
        <v>国内送料、クーリエ、倉庫代</v>
      </c>
      <c r="I46" s="9" t="s">
        <v>55</v>
      </c>
    </row>
    <row r="47" spans="2:9">
      <c r="B47" s="4">
        <v>44546</v>
      </c>
      <c r="C47" s="10" t="s">
        <v>152</v>
      </c>
      <c r="D47" s="5">
        <v>0</v>
      </c>
      <c r="E47" s="5">
        <v>192000</v>
      </c>
      <c r="F47" s="5">
        <f t="shared" si="0"/>
        <v>632030</v>
      </c>
      <c r="G47" s="17" t="str">
        <f>IF(D47&lt;&gt;0,IF(COUNTIF(C47,"*CHGS*")&gt;=1,"3-061",VLOOKUP(I47,'Case4.3'!C:D,2,FALSE)),VLOOKUP(I47,'Case4.3'!C:D,2,FALSE))</f>
        <v>2-100</v>
      </c>
      <c r="H47" s="55" t="str">
        <f>VLOOKUP('Case4.4'!G47,'Case4.5'!B:C,2,FALSE)</f>
        <v>売掛金回収</v>
      </c>
      <c r="I47" s="9" t="s">
        <v>48</v>
      </c>
    </row>
    <row r="48" spans="2:9">
      <c r="B48" s="4">
        <v>44546</v>
      </c>
      <c r="C48" s="9" t="s">
        <v>17</v>
      </c>
      <c r="D48" s="5">
        <v>105</v>
      </c>
      <c r="E48" s="5">
        <v>0</v>
      </c>
      <c r="F48" s="5">
        <f t="shared" si="0"/>
        <v>631925</v>
      </c>
      <c r="G48" s="17" t="str">
        <f>IF(D48&lt;&gt;0,IF(COUNTIF(C48,"*CHGS*")&gt;=1,"3-061",VLOOKUP(I48,'Case4.3'!C:D,2,FALSE)),VLOOKUP(I48,'Case4.3'!C:D,2,FALSE))</f>
        <v>3-061</v>
      </c>
      <c r="H48" s="55" t="str">
        <f>VLOOKUP('Case4.4'!G48,'Case4.5'!B:C,2,FALSE)</f>
        <v>銀行手数料等</v>
      </c>
      <c r="I48" s="9"/>
    </row>
    <row r="49" spans="2:9">
      <c r="B49" s="4">
        <v>44546</v>
      </c>
      <c r="C49" s="11" t="s">
        <v>54</v>
      </c>
      <c r="D49" s="5">
        <v>30000</v>
      </c>
      <c r="E49" s="5">
        <v>0</v>
      </c>
      <c r="F49" s="5">
        <f t="shared" si="0"/>
        <v>601925</v>
      </c>
      <c r="G49" s="17" t="str">
        <f>IF(D49&lt;&gt;0,IF(COUNTIF(C49,"*CHGS*")&gt;=1,"3-061",VLOOKUP(I49,'Case4.3'!C:D,2,FALSE)),VLOOKUP(I49,'Case4.3'!C:D,2,FALSE))</f>
        <v>3-022</v>
      </c>
      <c r="H49" s="55" t="str">
        <f>VLOOKUP('Case4.4'!G49,'Case4.5'!B:C,2,FALSE)</f>
        <v>海上運賃、航空運賃</v>
      </c>
      <c r="I49" s="11" t="s">
        <v>54</v>
      </c>
    </row>
    <row r="50" spans="2:9">
      <c r="B50" s="4">
        <v>44550</v>
      </c>
      <c r="C50" s="12" t="s">
        <v>58</v>
      </c>
      <c r="D50" s="5">
        <v>7000</v>
      </c>
      <c r="E50" s="5">
        <v>0</v>
      </c>
      <c r="F50" s="5">
        <f t="shared" si="0"/>
        <v>594925</v>
      </c>
      <c r="G50" s="17" t="str">
        <f>IF(D50&lt;&gt;0,IF(COUNTIF(C50,"*CHGS*")&gt;=1,"3-061",VLOOKUP(I50,'Case4.3'!C:D,2,FALSE)),VLOOKUP(I50,'Case4.3'!C:D,2,FALSE))</f>
        <v>3-022</v>
      </c>
      <c r="H50" s="55" t="str">
        <f>VLOOKUP('Case4.4'!G50,'Case4.5'!B:C,2,FALSE)</f>
        <v>海上運賃、航空運賃</v>
      </c>
      <c r="I50" s="12" t="s">
        <v>58</v>
      </c>
    </row>
    <row r="51" spans="2:9">
      <c r="B51" s="4">
        <v>44550</v>
      </c>
      <c r="C51" s="9" t="s">
        <v>19</v>
      </c>
      <c r="D51" s="5">
        <v>12000</v>
      </c>
      <c r="E51" s="5">
        <v>0</v>
      </c>
      <c r="F51" s="5">
        <f t="shared" si="0"/>
        <v>582925</v>
      </c>
      <c r="G51" s="17" t="str">
        <f>IF(D51&lt;&gt;0,IF(COUNTIF(C51,"*CHGS*")&gt;=1,"3-061",VLOOKUP(I51,'Case4.3'!C:D,2,FALSE)),VLOOKUP(I51,'Case4.3'!C:D,2,FALSE))</f>
        <v>3-021</v>
      </c>
      <c r="H51" s="55" t="str">
        <f>VLOOKUP('Case4.4'!G51,'Case4.5'!B:C,2,FALSE)</f>
        <v>国内送料、クーリエ、倉庫代</v>
      </c>
      <c r="I51" s="9" t="s">
        <v>55</v>
      </c>
    </row>
    <row r="52" spans="2:9">
      <c r="B52" s="4">
        <v>44550</v>
      </c>
      <c r="C52" s="9" t="s">
        <v>20</v>
      </c>
      <c r="D52" s="5">
        <v>3500</v>
      </c>
      <c r="E52" s="5">
        <v>0</v>
      </c>
      <c r="F52" s="5">
        <f t="shared" si="0"/>
        <v>579425</v>
      </c>
      <c r="G52" s="17" t="str">
        <f>IF(D52&lt;&gt;0,IF(COUNTIF(C52,"*CHGS*")&gt;=1,"3-061",VLOOKUP(I52,'Case4.3'!C:D,2,FALSE)),VLOOKUP(I52,'Case4.3'!C:D,2,FALSE))</f>
        <v>3-021</v>
      </c>
      <c r="H52" s="55" t="str">
        <f>VLOOKUP('Case4.4'!G52,'Case4.5'!B:C,2,FALSE)</f>
        <v>国内送料、クーリエ、倉庫代</v>
      </c>
      <c r="I52" s="9" t="s">
        <v>137</v>
      </c>
    </row>
    <row r="53" spans="2:9">
      <c r="B53" s="4">
        <v>44550</v>
      </c>
      <c r="C53" s="9" t="s">
        <v>66</v>
      </c>
      <c r="D53" s="5">
        <v>300000</v>
      </c>
      <c r="E53" s="5">
        <v>0</v>
      </c>
      <c r="F53" s="5">
        <f t="shared" si="0"/>
        <v>279425</v>
      </c>
      <c r="G53" s="17" t="str">
        <f>IF(D53&lt;&gt;0,IF(COUNTIF(C53,"*CHGS*")&gt;=1,"3-061",VLOOKUP(I53,'Case4.3'!C:D,2,FALSE)),VLOOKUP(I53,'Case4.3'!C:D,2,FALSE))</f>
        <v>1-100</v>
      </c>
      <c r="H53" s="55" t="str">
        <f>VLOOKUP('Case4.4'!G53,'Case4.5'!B:C,2,FALSE)</f>
        <v>PO支払</v>
      </c>
      <c r="I53" s="9" t="s">
        <v>66</v>
      </c>
    </row>
    <row r="54" spans="2:9">
      <c r="B54" s="7">
        <v>44551</v>
      </c>
      <c r="C54" s="10" t="s">
        <v>71</v>
      </c>
      <c r="D54" s="5">
        <v>0</v>
      </c>
      <c r="E54" s="5">
        <v>16000</v>
      </c>
      <c r="F54" s="5">
        <f t="shared" si="0"/>
        <v>295425</v>
      </c>
      <c r="G54" s="17" t="str">
        <f>IF(D54&lt;&gt;0,IF(COUNTIF(C54,"*CHGS*")&gt;=1,"3-061",VLOOKUP(I54,'Case4.3'!C:D,2,FALSE)),VLOOKUP(I54,'Case4.3'!C:D,2,FALSE))</f>
        <v>2-100</v>
      </c>
      <c r="H54" s="55" t="str">
        <f>VLOOKUP('Case4.4'!G54,'Case4.5'!B:C,2,FALSE)</f>
        <v>売掛金回収</v>
      </c>
      <c r="I54" s="9" t="s">
        <v>46</v>
      </c>
    </row>
    <row r="55" spans="2:9">
      <c r="B55" s="7">
        <v>44551</v>
      </c>
      <c r="C55" s="9" t="s">
        <v>4</v>
      </c>
      <c r="D55" s="5">
        <v>105</v>
      </c>
      <c r="E55" s="5">
        <v>0</v>
      </c>
      <c r="F55" s="5">
        <f t="shared" si="0"/>
        <v>295320</v>
      </c>
      <c r="G55" s="17" t="str">
        <f>IF(D55&lt;&gt;0,IF(COUNTIF(C55,"*CHGS*")&gt;=1,"3-061",VLOOKUP(I55,'Case4.3'!C:D,2,FALSE)),VLOOKUP(I55,'Case4.3'!C:D,2,FALSE))</f>
        <v>3-061</v>
      </c>
      <c r="H55" s="55" t="str">
        <f>VLOOKUP('Case4.4'!G55,'Case4.5'!B:C,2,FALSE)</f>
        <v>銀行手数料等</v>
      </c>
      <c r="I55" s="9"/>
    </row>
    <row r="56" spans="2:9">
      <c r="B56" s="7">
        <v>44551</v>
      </c>
      <c r="C56" s="9" t="s">
        <v>67</v>
      </c>
      <c r="D56" s="5">
        <v>250000</v>
      </c>
      <c r="E56" s="5">
        <v>0</v>
      </c>
      <c r="F56" s="5">
        <f t="shared" si="0"/>
        <v>45320</v>
      </c>
      <c r="G56" s="17" t="str">
        <f>IF(D56&lt;&gt;0,IF(COUNTIF(C56,"*CHGS*")&gt;=1,"3-061",VLOOKUP(I56,'Case4.3'!C:D,2,FALSE)),VLOOKUP(I56,'Case4.3'!C:D,2,FALSE))</f>
        <v>1-100</v>
      </c>
      <c r="H56" s="55" t="str">
        <f>VLOOKUP('Case4.4'!G56,'Case4.5'!B:C,2,FALSE)</f>
        <v>PO支払</v>
      </c>
      <c r="I56" s="9" t="s">
        <v>67</v>
      </c>
    </row>
    <row r="57" spans="2:9">
      <c r="B57" s="4">
        <v>44551</v>
      </c>
      <c r="C57" s="11" t="s">
        <v>56</v>
      </c>
      <c r="D57" s="5">
        <v>30000</v>
      </c>
      <c r="E57" s="5">
        <v>0</v>
      </c>
      <c r="F57" s="5">
        <f t="shared" si="0"/>
        <v>15320</v>
      </c>
      <c r="G57" s="17" t="str">
        <f>IF(D57&lt;&gt;0,IF(COUNTIF(C57,"*CHGS*")&gt;=1,"3-061",VLOOKUP(I57,'Case4.3'!C:D,2,FALSE)),VLOOKUP(I57,'Case4.3'!C:D,2,FALSE))</f>
        <v>3-022</v>
      </c>
      <c r="H57" s="55" t="str">
        <f>VLOOKUP('Case4.4'!G57,'Case4.5'!B:C,2,FALSE)</f>
        <v>海上運賃、航空運賃</v>
      </c>
      <c r="I57" s="11" t="s">
        <v>56</v>
      </c>
    </row>
    <row r="58" spans="2:9">
      <c r="B58" s="7">
        <v>44552</v>
      </c>
      <c r="C58" s="10" t="s">
        <v>136</v>
      </c>
      <c r="D58" s="5">
        <v>0</v>
      </c>
      <c r="E58" s="5">
        <v>288000</v>
      </c>
      <c r="F58" s="5">
        <f t="shared" si="0"/>
        <v>303320</v>
      </c>
      <c r="G58" s="17" t="str">
        <f>IF(D58&lt;&gt;0,IF(COUNTIF(C58,"*CHGS*")&gt;=1,"3-061",VLOOKUP(I58,'Case4.3'!C:D,2,FALSE)),VLOOKUP(I58,'Case4.3'!C:D,2,FALSE))</f>
        <v>2-100</v>
      </c>
      <c r="H58" s="55" t="str">
        <f>VLOOKUP('Case4.4'!G58,'Case4.5'!B:C,2,FALSE)</f>
        <v>売掛金回収</v>
      </c>
      <c r="I58" s="9" t="s">
        <v>50</v>
      </c>
    </row>
    <row r="59" spans="2:9">
      <c r="B59" s="7">
        <v>44552</v>
      </c>
      <c r="C59" s="9" t="s">
        <v>3</v>
      </c>
      <c r="D59" s="5">
        <v>105</v>
      </c>
      <c r="E59" s="5">
        <v>0</v>
      </c>
      <c r="F59" s="5">
        <f t="shared" si="0"/>
        <v>303215</v>
      </c>
      <c r="G59" s="17" t="str">
        <f>IF(D59&lt;&gt;0,IF(COUNTIF(C59,"*CHGS*")&gt;=1,"3-061",VLOOKUP(I59,'Case4.3'!C:D,2,FALSE)),VLOOKUP(I59,'Case4.3'!C:D,2,FALSE))</f>
        <v>3-061</v>
      </c>
      <c r="H59" s="55" t="str">
        <f>VLOOKUP('Case4.4'!G59,'Case4.5'!B:C,2,FALSE)</f>
        <v>銀行手数料等</v>
      </c>
      <c r="I59" s="9"/>
    </row>
    <row r="60" spans="2:9">
      <c r="B60" s="4">
        <v>44553</v>
      </c>
      <c r="C60" s="9" t="s">
        <v>57</v>
      </c>
      <c r="D60" s="5">
        <v>24000</v>
      </c>
      <c r="E60" s="5">
        <v>0</v>
      </c>
      <c r="F60" s="5">
        <f t="shared" si="0"/>
        <v>279215</v>
      </c>
      <c r="G60" s="17" t="str">
        <f>IF(D60&lt;&gt;0,IF(COUNTIF(C60,"*CHGS*")&gt;=1,"3-061",VLOOKUP(I60,'Case4.3'!C:D,2,FALSE)),VLOOKUP(I60,'Case4.3'!C:D,2,FALSE))</f>
        <v>3-021</v>
      </c>
      <c r="H60" s="55" t="str">
        <f>VLOOKUP('Case4.4'!G60,'Case4.5'!B:C,2,FALSE)</f>
        <v>国内送料、クーリエ、倉庫代</v>
      </c>
      <c r="I60" s="9" t="s">
        <v>55</v>
      </c>
    </row>
    <row r="61" spans="2:9">
      <c r="B61" s="4">
        <v>44553</v>
      </c>
      <c r="C61" s="9" t="s">
        <v>21</v>
      </c>
      <c r="D61" s="5">
        <v>1200</v>
      </c>
      <c r="E61" s="5">
        <v>0</v>
      </c>
      <c r="F61" s="5">
        <f t="shared" si="0"/>
        <v>278015</v>
      </c>
      <c r="G61" s="17" t="str">
        <f>IF(D61&lt;&gt;0,IF(COUNTIF(C61,"*CHGS*")&gt;=1,"3-061",VLOOKUP(I61,'Case4.3'!C:D,2,FALSE)),VLOOKUP(I61,'Case4.3'!C:D,2,FALSE))</f>
        <v>3-032</v>
      </c>
      <c r="H61" s="55" t="str">
        <f>VLOOKUP('Case4.4'!G61,'Case4.5'!B:C,2,FALSE)</f>
        <v>通信費</v>
      </c>
      <c r="I61" s="9" t="s">
        <v>62</v>
      </c>
    </row>
    <row r="62" spans="2:9">
      <c r="B62" s="4">
        <v>44553</v>
      </c>
      <c r="C62" s="11" t="s">
        <v>56</v>
      </c>
      <c r="D62" s="5">
        <v>23000</v>
      </c>
      <c r="E62" s="5">
        <v>0</v>
      </c>
      <c r="F62" s="5">
        <f t="shared" si="0"/>
        <v>255015</v>
      </c>
      <c r="G62" s="17" t="str">
        <f>IF(D62&lt;&gt;0,IF(COUNTIF(C62,"*CHGS*")&gt;=1,"3-061",VLOOKUP(I62,'Case4.3'!C:D,2,FALSE)),VLOOKUP(I62,'Case4.3'!C:D,2,FALSE))</f>
        <v>3-022</v>
      </c>
      <c r="H62" s="55" t="str">
        <f>VLOOKUP('Case4.4'!G62,'Case4.5'!B:C,2,FALSE)</f>
        <v>海上運賃、航空運賃</v>
      </c>
      <c r="I62" s="11" t="s">
        <v>56</v>
      </c>
    </row>
    <row r="63" spans="2:9">
      <c r="B63" s="4">
        <v>44558</v>
      </c>
      <c r="C63" s="12" t="s">
        <v>58</v>
      </c>
      <c r="D63" s="5">
        <v>11000</v>
      </c>
      <c r="E63" s="5">
        <v>0</v>
      </c>
      <c r="F63" s="5">
        <f t="shared" si="0"/>
        <v>244015</v>
      </c>
      <c r="G63" s="17" t="str">
        <f>IF(D63&lt;&gt;0,IF(COUNTIF(C63,"*CHGS*")&gt;=1,"3-061",VLOOKUP(I63,'Case4.3'!C:D,2,FALSE)),VLOOKUP(I63,'Case4.3'!C:D,2,FALSE))</f>
        <v>3-022</v>
      </c>
      <c r="H63" s="55" t="str">
        <f>VLOOKUP('Case4.4'!G63,'Case4.5'!B:C,2,FALSE)</f>
        <v>海上運賃、航空運賃</v>
      </c>
      <c r="I63" s="12" t="s">
        <v>58</v>
      </c>
    </row>
    <row r="64" spans="2:9" customFormat="1">
      <c r="B64" s="4">
        <v>44558</v>
      </c>
      <c r="C64" s="9" t="s">
        <v>22</v>
      </c>
      <c r="D64" s="5">
        <v>735</v>
      </c>
      <c r="E64" s="5">
        <v>0</v>
      </c>
      <c r="F64" s="5">
        <f t="shared" si="0"/>
        <v>243280</v>
      </c>
      <c r="G64" s="17" t="str">
        <f>IF(D64&lt;&gt;0,IF(COUNTIF(C64,"*CHGS*")&gt;=1,"3-061",VLOOKUP(I64,'Case4.3'!C:D,2,FALSE)),VLOOKUP(I64,'Case4.3'!C:D,2,FALSE))</f>
        <v>3-034</v>
      </c>
      <c r="H64" s="55" t="str">
        <f>VLOOKUP('Case4.4'!G64,'Case4.5'!B:C,2,FALSE)</f>
        <v>備品、消耗工具</v>
      </c>
      <c r="I64" s="9" t="s">
        <v>139</v>
      </c>
    </row>
    <row r="65" spans="2:9">
      <c r="B65" s="4">
        <v>44558</v>
      </c>
      <c r="C65" s="10" t="s">
        <v>164</v>
      </c>
      <c r="D65" s="5">
        <v>0</v>
      </c>
      <c r="E65" s="5">
        <v>620800</v>
      </c>
      <c r="F65" s="5">
        <f t="shared" si="0"/>
        <v>864080</v>
      </c>
      <c r="G65" s="17" t="str">
        <f>IF(D65&lt;&gt;0,IF(COUNTIF(C65,"*CHGS*")&gt;=1,"3-061",VLOOKUP(I65,'Case4.3'!C:D,2,FALSE)),VLOOKUP(I65,'Case4.3'!C:D,2,FALSE))</f>
        <v>2-100</v>
      </c>
      <c r="H65" s="55" t="str">
        <f>VLOOKUP('Case4.4'!G65,'Case4.5'!B:C,2,FALSE)</f>
        <v>売掛金回収</v>
      </c>
      <c r="I65" s="9" t="s">
        <v>48</v>
      </c>
    </row>
    <row r="66" spans="2:9">
      <c r="B66" s="4">
        <v>44558</v>
      </c>
      <c r="C66" s="9" t="s">
        <v>165</v>
      </c>
      <c r="D66" s="5">
        <v>105</v>
      </c>
      <c r="E66" s="5">
        <v>0</v>
      </c>
      <c r="F66" s="5">
        <f t="shared" si="0"/>
        <v>863975</v>
      </c>
      <c r="G66" s="17" t="str">
        <f>IF(D66&lt;&gt;0,IF(COUNTIF(C66,"*CHGS*")&gt;=1,"3-061",VLOOKUP(I66,'Case4.3'!C:D,2,FALSE)),VLOOKUP(I66,'Case4.3'!C:D,2,FALSE))</f>
        <v>3-061</v>
      </c>
      <c r="H66" s="55" t="str">
        <f>VLOOKUP('Case4.4'!G66,'Case4.5'!B:C,2,FALSE)</f>
        <v>銀行手数料等</v>
      </c>
      <c r="I66" s="9"/>
    </row>
    <row r="67" spans="2:9">
      <c r="B67" s="4">
        <v>44558</v>
      </c>
      <c r="C67" s="9" t="s">
        <v>67</v>
      </c>
      <c r="D67" s="5">
        <v>700000</v>
      </c>
      <c r="E67" s="5">
        <v>0</v>
      </c>
      <c r="F67" s="5">
        <f t="shared" si="0"/>
        <v>163975</v>
      </c>
      <c r="G67" s="17" t="str">
        <f>IF(D67&lt;&gt;0,IF(COUNTIF(C67,"*CHGS*")&gt;=1,"3-061",VLOOKUP(I67,'Case4.3'!C:D,2,FALSE)),VLOOKUP(I67,'Case4.3'!C:D,2,FALSE))</f>
        <v>1-100</v>
      </c>
      <c r="H67" s="55" t="str">
        <f>VLOOKUP('Case4.4'!G67,'Case4.5'!B:C,2,FALSE)</f>
        <v>PO支払</v>
      </c>
      <c r="I67" s="9" t="s">
        <v>67</v>
      </c>
    </row>
    <row r="68" spans="2:9" customFormat="1">
      <c r="B68" s="4">
        <v>44559</v>
      </c>
      <c r="C68" s="9" t="s">
        <v>5</v>
      </c>
      <c r="D68" s="5">
        <v>3600</v>
      </c>
      <c r="E68" s="5">
        <v>0</v>
      </c>
      <c r="F68" s="5">
        <f t="shared" si="0"/>
        <v>160375</v>
      </c>
      <c r="G68" s="17" t="str">
        <f>IF(D68&lt;&gt;0,IF(COUNTIF(C68,"*CHGS*")&gt;=1,"3-061",VLOOKUP(I68,'Case4.3'!C:D,2,FALSE)),VLOOKUP(I68,'Case4.3'!C:D,2,FALSE))</f>
        <v>3-022</v>
      </c>
      <c r="H68" s="55" t="str">
        <f>VLOOKUP('Case4.4'!G68,'Case4.5'!B:C,2,FALSE)</f>
        <v>海上運賃、航空運賃</v>
      </c>
      <c r="I68" s="12" t="s">
        <v>58</v>
      </c>
    </row>
    <row r="69" spans="2:9" customFormat="1">
      <c r="B69" s="4">
        <v>44559</v>
      </c>
      <c r="C69" s="9" t="s">
        <v>6</v>
      </c>
      <c r="D69" s="5">
        <v>5900</v>
      </c>
      <c r="E69" s="5">
        <v>0</v>
      </c>
      <c r="F69" s="5">
        <f t="shared" si="0"/>
        <v>154475</v>
      </c>
      <c r="G69" s="17" t="str">
        <f>IF(D69&lt;&gt;0,IF(COUNTIF(C69,"*CHGS*")&gt;=1,"3-061",VLOOKUP(I69,'Case4.3'!C:D,2,FALSE)),VLOOKUP(I69,'Case4.3'!C:D,2,FALSE))</f>
        <v>3-021</v>
      </c>
      <c r="H69" s="55" t="str">
        <f>VLOOKUP('Case4.4'!G69,'Case4.5'!B:C,2,FALSE)</f>
        <v>国内送料、クーリエ、倉庫代</v>
      </c>
      <c r="I69" s="11" t="s">
        <v>25</v>
      </c>
    </row>
    <row r="70" spans="2:9" customFormat="1">
      <c r="B70" s="4">
        <v>44559</v>
      </c>
      <c r="C70" s="9" t="s">
        <v>66</v>
      </c>
      <c r="D70" s="5">
        <v>14000</v>
      </c>
      <c r="E70" s="5">
        <v>0</v>
      </c>
      <c r="F70" s="5">
        <f t="shared" si="0"/>
        <v>140475</v>
      </c>
      <c r="G70" s="17" t="str">
        <f>IF(D70&lt;&gt;0,IF(COUNTIF(C70,"*CHGS*")&gt;=1,"3-061",VLOOKUP(I70,'Case4.3'!C:D,2,FALSE)),VLOOKUP(I70,'Case4.3'!C:D,2,FALSE))</f>
        <v>1-100</v>
      </c>
      <c r="H70" s="55" t="str">
        <f>VLOOKUP('Case4.4'!G70,'Case4.5'!B:C,2,FALSE)</f>
        <v>PO支払</v>
      </c>
      <c r="I70" s="9" t="s">
        <v>66</v>
      </c>
    </row>
    <row r="71" spans="2:9" customFormat="1">
      <c r="B71" s="4">
        <v>44560</v>
      </c>
      <c r="C71" s="11" t="s">
        <v>25</v>
      </c>
      <c r="D71" s="5">
        <v>52000</v>
      </c>
      <c r="E71" s="5">
        <v>0</v>
      </c>
      <c r="F71" s="5">
        <f t="shared" si="0"/>
        <v>88475</v>
      </c>
      <c r="G71" s="17" t="str">
        <f>IF(D71&lt;&gt;0,IF(COUNTIF(C71,"*CHGS*")&gt;=1,"3-061",VLOOKUP(I71,'Case4.3'!C:D,2,FALSE)),VLOOKUP(I71,'Case4.3'!C:D,2,FALSE))</f>
        <v>3-021</v>
      </c>
      <c r="H71" s="55" t="str">
        <f>VLOOKUP('Case4.4'!G71,'Case4.5'!B:C,2,FALSE)</f>
        <v>国内送料、クーリエ、倉庫代</v>
      </c>
      <c r="I71" s="11" t="s">
        <v>25</v>
      </c>
    </row>
    <row r="72" spans="2:9" customFormat="1">
      <c r="B72" s="4">
        <v>44561</v>
      </c>
      <c r="C72" s="10" t="s">
        <v>153</v>
      </c>
      <c r="D72" s="5">
        <v>0</v>
      </c>
      <c r="E72" s="5">
        <v>680000</v>
      </c>
      <c r="F72" s="5">
        <f t="shared" ref="F72:F83" si="1">F71-D72+E72</f>
        <v>768475</v>
      </c>
      <c r="G72" s="17" t="str">
        <f>IF(D72&lt;&gt;0,IF(COUNTIF(C72,"*CHGS*")&gt;=1,"3-061",VLOOKUP(I72,'Case4.3'!C:D,2,FALSE)),VLOOKUP(I72,'Case4.3'!C:D,2,FALSE))</f>
        <v>2-100</v>
      </c>
      <c r="H72" s="55" t="str">
        <f>VLOOKUP('Case4.4'!G72,'Case4.5'!B:C,2,FALSE)</f>
        <v>売掛金回収</v>
      </c>
      <c r="I72" s="9" t="s">
        <v>45</v>
      </c>
    </row>
    <row r="73" spans="2:9" customFormat="1">
      <c r="B73" s="4">
        <v>44561</v>
      </c>
      <c r="C73" s="9" t="s">
        <v>14</v>
      </c>
      <c r="D73" s="5">
        <v>105</v>
      </c>
      <c r="E73" s="5">
        <v>0</v>
      </c>
      <c r="F73" s="5">
        <f t="shared" si="1"/>
        <v>768370</v>
      </c>
      <c r="G73" s="17" t="str">
        <f>IF(D73&lt;&gt;0,IF(COUNTIF(C73,"*CHGS*")&gt;=1,"3-061",VLOOKUP(I73,'Case4.3'!C:D,2,FALSE)),VLOOKUP(I73,'Case4.3'!C:D,2,FALSE))</f>
        <v>3-061</v>
      </c>
      <c r="H73" s="55" t="str">
        <f>VLOOKUP('Case4.4'!G73,'Case4.5'!B:C,2,FALSE)</f>
        <v>銀行手数料等</v>
      </c>
      <c r="I73" s="9"/>
    </row>
    <row r="74" spans="2:9" customFormat="1">
      <c r="B74" s="4">
        <v>44561</v>
      </c>
      <c r="C74" s="9" t="s">
        <v>154</v>
      </c>
      <c r="D74" s="5">
        <v>30000</v>
      </c>
      <c r="E74" s="5">
        <v>0</v>
      </c>
      <c r="F74" s="5">
        <f t="shared" si="1"/>
        <v>738370</v>
      </c>
      <c r="G74" s="17" t="str">
        <f>IF(D74&lt;&gt;0,IF(COUNTIF(C74,"*CHGS*")&gt;=1,"3-061",VLOOKUP(I74,'Case4.3'!C:D,2,FALSE)),VLOOKUP(I74,'Case4.3'!C:D,2,FALSE))</f>
        <v>3-010</v>
      </c>
      <c r="H74" s="55" t="str">
        <f>VLOOKUP('Case4.4'!G74,'Case4.5'!B:C,2,FALSE)</f>
        <v>人件費</v>
      </c>
      <c r="I74" s="9" t="s">
        <v>51</v>
      </c>
    </row>
    <row r="75" spans="2:9" customFormat="1">
      <c r="B75" s="4">
        <v>44561</v>
      </c>
      <c r="C75" s="9" t="s">
        <v>155</v>
      </c>
      <c r="D75" s="5">
        <v>25000</v>
      </c>
      <c r="E75" s="5">
        <v>0</v>
      </c>
      <c r="F75" s="5">
        <f t="shared" si="1"/>
        <v>713370</v>
      </c>
      <c r="G75" s="17" t="str">
        <f>IF(D75&lt;&gt;0,IF(COUNTIF(C75,"*CHGS*")&gt;=1,"3-061",VLOOKUP(I75,'Case4.3'!C:D,2,FALSE)),VLOOKUP(I75,'Case4.3'!C:D,2,FALSE))</f>
        <v>3-010</v>
      </c>
      <c r="H75" s="55" t="str">
        <f>VLOOKUP('Case4.4'!G75,'Case4.5'!B:C,2,FALSE)</f>
        <v>人件費</v>
      </c>
      <c r="I75" s="9" t="s">
        <v>52</v>
      </c>
    </row>
    <row r="76" spans="2:9" customFormat="1">
      <c r="B76" s="4">
        <v>44561</v>
      </c>
      <c r="C76" s="9" t="s">
        <v>23</v>
      </c>
      <c r="D76" s="5">
        <v>20000</v>
      </c>
      <c r="E76" s="5">
        <v>0</v>
      </c>
      <c r="F76" s="5">
        <f t="shared" si="1"/>
        <v>693370</v>
      </c>
      <c r="G76" s="17" t="str">
        <f>IF(D76&lt;&gt;0,IF(COUNTIF(C76,"*CHGS*")&gt;=1,"3-061",VLOOKUP(I76,'Case4.3'!C:D,2,FALSE)),VLOOKUP(I76,'Case4.3'!C:D,2,FALSE))</f>
        <v>3-042</v>
      </c>
      <c r="H76" s="55" t="str">
        <f>VLOOKUP('Case4.4'!G76,'Case4.5'!B:C,2,FALSE)</f>
        <v>接待交際費</v>
      </c>
      <c r="I76" s="9" t="s">
        <v>12</v>
      </c>
    </row>
    <row r="77" spans="2:9" customFormat="1">
      <c r="B77" s="4">
        <v>44561</v>
      </c>
      <c r="C77" s="9" t="s">
        <v>23</v>
      </c>
      <c r="D77" s="5">
        <v>20000</v>
      </c>
      <c r="E77" s="5">
        <v>0</v>
      </c>
      <c r="F77" s="5">
        <f t="shared" si="1"/>
        <v>673370</v>
      </c>
      <c r="G77" s="17" t="str">
        <f>IF(D77&lt;&gt;0,IF(COUNTIF(C77,"*CHGS*")&gt;=1,"3-061",VLOOKUP(I77,'Case4.3'!C:D,2,FALSE)),VLOOKUP(I77,'Case4.3'!C:D,2,FALSE))</f>
        <v>3-034</v>
      </c>
      <c r="H77" s="55" t="str">
        <f>VLOOKUP('Case4.4'!G77,'Case4.5'!B:C,2,FALSE)</f>
        <v>備品、消耗工具</v>
      </c>
      <c r="I77" s="11" t="s">
        <v>159</v>
      </c>
    </row>
    <row r="78" spans="2:9" customFormat="1">
      <c r="B78" s="4">
        <v>44561</v>
      </c>
      <c r="C78" s="9" t="s">
        <v>23</v>
      </c>
      <c r="D78" s="5">
        <v>5000</v>
      </c>
      <c r="E78" s="5">
        <v>0</v>
      </c>
      <c r="F78" s="5">
        <f t="shared" si="1"/>
        <v>668370</v>
      </c>
      <c r="G78" s="17" t="str">
        <f>IF(D78&lt;&gt;0,IF(COUNTIF(C78,"*CHGS*")&gt;=1,"3-061",VLOOKUP(I78,'Case4.3'!C:D,2,FALSE)),VLOOKUP(I78,'Case4.3'!C:D,2,FALSE))</f>
        <v>3-041</v>
      </c>
      <c r="H78" s="55" t="str">
        <f>VLOOKUP('Case4.4'!G78,'Case4.5'!B:C,2,FALSE)</f>
        <v>交通費、出張費</v>
      </c>
      <c r="I78" s="9" t="s">
        <v>160</v>
      </c>
    </row>
    <row r="79" spans="2:9" customFormat="1">
      <c r="B79" s="4">
        <v>44561</v>
      </c>
      <c r="C79" s="10" t="s">
        <v>156</v>
      </c>
      <c r="D79" s="5">
        <v>0</v>
      </c>
      <c r="E79" s="5">
        <v>192000</v>
      </c>
      <c r="F79" s="5">
        <f t="shared" si="1"/>
        <v>860370</v>
      </c>
      <c r="G79" s="17" t="str">
        <f>IF(D79&lt;&gt;0,IF(COUNTIF(C79,"*CHGS*")&gt;=1,"3-061",VLOOKUP(I79,'Case4.3'!C:D,2,FALSE)),VLOOKUP(I79,'Case4.3'!C:D,2,FALSE))</f>
        <v>2-100</v>
      </c>
      <c r="H79" s="55" t="str">
        <f>VLOOKUP('Case4.4'!G79,'Case4.5'!B:C,2,FALSE)</f>
        <v>売掛金回収</v>
      </c>
      <c r="I79" s="10" t="s">
        <v>46</v>
      </c>
    </row>
    <row r="80" spans="2:9" customFormat="1">
      <c r="B80" s="4">
        <v>44561</v>
      </c>
      <c r="C80" s="9" t="s">
        <v>15</v>
      </c>
      <c r="D80" s="5">
        <v>105</v>
      </c>
      <c r="E80" s="5">
        <v>0</v>
      </c>
      <c r="F80" s="5">
        <f t="shared" si="1"/>
        <v>860265</v>
      </c>
      <c r="G80" s="17" t="str">
        <f>IF(D80&lt;&gt;0,IF(COUNTIF(C80,"*CHGS*")&gt;=1,"3-061",VLOOKUP(I80,'Case4.3'!C:D,2,FALSE)),VLOOKUP(I80,'Case4.3'!C:D,2,FALSE))</f>
        <v>3-061</v>
      </c>
      <c r="H80" s="55" t="str">
        <f>VLOOKUP('Case4.4'!G80,'Case4.5'!B:C,2,FALSE)</f>
        <v>銀行手数料等</v>
      </c>
      <c r="I80" s="9"/>
    </row>
    <row r="81" spans="2:9">
      <c r="B81" s="4">
        <v>44561</v>
      </c>
      <c r="C81" s="9" t="s">
        <v>67</v>
      </c>
      <c r="D81" s="5">
        <v>800000</v>
      </c>
      <c r="E81" s="5">
        <v>0</v>
      </c>
      <c r="F81" s="5">
        <f t="shared" si="1"/>
        <v>60265</v>
      </c>
      <c r="G81" s="17" t="str">
        <f>IF(D81&lt;&gt;0,IF(COUNTIF(C81,"*CHGS*")&gt;=1,"3-061",VLOOKUP(I81,'Case4.3'!C:D,2,FALSE)),VLOOKUP(I81,'Case4.3'!C:D,2,FALSE))</f>
        <v>1-100</v>
      </c>
      <c r="H81" s="55" t="str">
        <f>VLOOKUP('Case4.4'!G81,'Case4.5'!B:C,2,FALSE)</f>
        <v>PO支払</v>
      </c>
      <c r="I81" s="9" t="s">
        <v>67</v>
      </c>
    </row>
    <row r="82" spans="2:9">
      <c r="B82" s="4">
        <v>44561</v>
      </c>
      <c r="C82" s="10" t="s">
        <v>157</v>
      </c>
      <c r="D82" s="5">
        <v>0</v>
      </c>
      <c r="E82" s="5">
        <v>180000</v>
      </c>
      <c r="F82" s="5">
        <f t="shared" si="1"/>
        <v>240265</v>
      </c>
      <c r="G82" s="17" t="str">
        <f>IF(D82&lt;&gt;0,IF(COUNTIF(C82,"*CHGS*")&gt;=1,"3-061",VLOOKUP(I82,'Case4.3'!C:D,2,FALSE)),VLOOKUP(I82,'Case4.3'!C:D,2,FALSE))</f>
        <v>2-100</v>
      </c>
      <c r="H82" s="55" t="str">
        <f>VLOOKUP('Case4.4'!G82,'Case4.5'!B:C,2,FALSE)</f>
        <v>売掛金回収</v>
      </c>
      <c r="I82" s="9" t="s">
        <v>48</v>
      </c>
    </row>
    <row r="83" spans="2:9">
      <c r="B83" s="4">
        <v>44561</v>
      </c>
      <c r="C83" s="9" t="s">
        <v>166</v>
      </c>
      <c r="D83" s="5">
        <v>265</v>
      </c>
      <c r="E83" s="5">
        <v>0</v>
      </c>
      <c r="F83" s="5">
        <f t="shared" si="1"/>
        <v>240000</v>
      </c>
      <c r="G83" s="17" t="str">
        <f>IF(D83&lt;&gt;0,IF(COUNTIF(C83,"*CHGS*")&gt;=1,"3-061",VLOOKUP(I83,'Case4.3'!C:D,2,FALSE)),VLOOKUP(I83,'Case4.3'!C:D,2,FALSE))</f>
        <v>3-061</v>
      </c>
      <c r="H83" s="55" t="str">
        <f>VLOOKUP('Case4.4'!G83,'Case4.5'!B:C,2,FALSE)</f>
        <v>銀行手数料等</v>
      </c>
      <c r="I83" s="9"/>
    </row>
  </sheetData>
  <sortState xmlns:xlrd2="http://schemas.microsoft.com/office/spreadsheetml/2017/richdata2" ref="A7:G156">
    <sortCondition ref="A7:A156"/>
  </sortState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B5688-AF6B-4D81-987F-FB4E98D8399F}">
  <dimension ref="B2:I24"/>
  <sheetViews>
    <sheetView workbookViewId="0"/>
  </sheetViews>
  <sheetFormatPr defaultRowHeight="18"/>
  <cols>
    <col min="1" max="1" width="2.25" customWidth="1"/>
    <col min="2" max="2" width="8.58203125" style="16" bestFit="1" customWidth="1"/>
    <col min="3" max="3" width="23.75" style="16" bestFit="1" customWidth="1"/>
    <col min="4" max="4" width="4.6640625" bestFit="1" customWidth="1"/>
    <col min="5" max="7" width="13.1640625" bestFit="1" customWidth="1"/>
  </cols>
  <sheetData>
    <row r="2" spans="2:9" ht="18.5" thickBot="1">
      <c r="B2" s="24" t="s">
        <v>0</v>
      </c>
      <c r="C2" s="24" t="s">
        <v>27</v>
      </c>
      <c r="D2" s="25" t="s">
        <v>28</v>
      </c>
      <c r="E2" s="24" t="s">
        <v>114</v>
      </c>
      <c r="F2" s="24" t="s">
        <v>116</v>
      </c>
      <c r="G2" s="24" t="s">
        <v>29</v>
      </c>
      <c r="I2" s="23"/>
    </row>
    <row r="3" spans="2:9">
      <c r="B3" s="31" t="s">
        <v>95</v>
      </c>
      <c r="C3" s="32" t="s">
        <v>31</v>
      </c>
      <c r="D3" s="33" t="s">
        <v>30</v>
      </c>
      <c r="E3" s="34">
        <f>SUMIFS('Case4.4'!D:D,'Case4.4'!G:G,B3)</f>
        <v>55000</v>
      </c>
      <c r="F3" s="34">
        <f>SUMIFS('Case4.4'!E:E,'Case4.4'!G:G,B3)</f>
        <v>0</v>
      </c>
      <c r="G3" s="34">
        <f>SUM(E3:F3)</f>
        <v>55000</v>
      </c>
    </row>
    <row r="4" spans="2:9">
      <c r="B4" s="35" t="s">
        <v>100</v>
      </c>
      <c r="C4" s="36" t="s">
        <v>93</v>
      </c>
      <c r="D4" s="37" t="s">
        <v>30</v>
      </c>
      <c r="E4" s="38">
        <f>SUMIFS('Case4.4'!D:D,'Case4.4'!G:G,B4)</f>
        <v>176200</v>
      </c>
      <c r="F4" s="38">
        <f>SUMIFS('Case4.4'!E:E,'Case4.4'!G:G,B4)</f>
        <v>0</v>
      </c>
      <c r="G4" s="38"/>
    </row>
    <row r="5" spans="2:9">
      <c r="B5" s="35" t="s">
        <v>101</v>
      </c>
      <c r="C5" s="36" t="s">
        <v>91</v>
      </c>
      <c r="D5" s="37" t="s">
        <v>30</v>
      </c>
      <c r="E5" s="38">
        <f>SUMIFS('Case4.4'!D:D,'Case4.4'!G:G,B5)</f>
        <v>188900</v>
      </c>
      <c r="F5" s="38">
        <f>SUMIFS('Case4.4'!E:E,'Case4.4'!G:G,B5)</f>
        <v>0</v>
      </c>
      <c r="G5" s="38"/>
    </row>
    <row r="6" spans="2:9">
      <c r="B6" s="35" t="s">
        <v>102</v>
      </c>
      <c r="C6" s="36" t="s">
        <v>87</v>
      </c>
      <c r="D6" s="37" t="s">
        <v>30</v>
      </c>
      <c r="E6" s="38">
        <f>SUMIFS('Case4.4'!D:D,'Case4.4'!G:G,B6)</f>
        <v>5000</v>
      </c>
      <c r="F6" s="38">
        <f>SUMIFS('Case4.4'!E:E,'Case4.4'!G:G,B6)</f>
        <v>0</v>
      </c>
      <c r="G6" s="38">
        <f t="shared" ref="G6:G14" si="0">SUM(E6:F6)</f>
        <v>5000</v>
      </c>
    </row>
    <row r="7" spans="2:9">
      <c r="B7" s="35" t="s">
        <v>103</v>
      </c>
      <c r="C7" s="36" t="s">
        <v>79</v>
      </c>
      <c r="D7" s="37" t="s">
        <v>30</v>
      </c>
      <c r="E7" s="38">
        <f>SUMIFS('Case4.4'!D:D,'Case4.4'!G:G,B7)</f>
        <v>2700</v>
      </c>
      <c r="F7" s="38">
        <f>SUMIFS('Case4.4'!E:E,'Case4.4'!G:G,B7)</f>
        <v>0</v>
      </c>
      <c r="G7" s="38">
        <f t="shared" si="0"/>
        <v>2700</v>
      </c>
    </row>
    <row r="8" spans="2:9">
      <c r="B8" s="35" t="s">
        <v>105</v>
      </c>
      <c r="C8" s="36" t="s">
        <v>89</v>
      </c>
      <c r="D8" s="37" t="s">
        <v>30</v>
      </c>
      <c r="E8" s="38">
        <f>SUMIFS('Case4.4'!D:D,'Case4.4'!G:G,B8)</f>
        <v>21935</v>
      </c>
      <c r="F8" s="38">
        <f>SUMIFS('Case4.4'!E:E,'Case4.4'!G:G,B8)</f>
        <v>0</v>
      </c>
      <c r="G8" s="38">
        <f t="shared" si="0"/>
        <v>21935</v>
      </c>
    </row>
    <row r="9" spans="2:9">
      <c r="B9" s="35" t="s">
        <v>107</v>
      </c>
      <c r="C9" s="36" t="s">
        <v>41</v>
      </c>
      <c r="D9" s="37" t="s">
        <v>30</v>
      </c>
      <c r="E9" s="38">
        <f>SUMIFS('Case4.4'!D:D,'Case4.4'!G:G,B9)</f>
        <v>67000</v>
      </c>
      <c r="F9" s="38">
        <f>SUMIFS('Case4.4'!E:E,'Case4.4'!G:G,B9)</f>
        <v>0</v>
      </c>
      <c r="G9" s="38">
        <f t="shared" si="0"/>
        <v>67000</v>
      </c>
    </row>
    <row r="10" spans="2:9">
      <c r="B10" s="35" t="s">
        <v>108</v>
      </c>
      <c r="C10" s="36" t="s">
        <v>85</v>
      </c>
      <c r="D10" s="37" t="s">
        <v>30</v>
      </c>
      <c r="E10" s="38">
        <f>SUMIFS('Case4.4'!D:D,'Case4.4'!G:G,B10)</f>
        <v>7100</v>
      </c>
      <c r="F10" s="38">
        <f>SUMIFS('Case4.4'!E:E,'Case4.4'!G:G,B10)</f>
        <v>0</v>
      </c>
      <c r="G10" s="38">
        <f t="shared" si="0"/>
        <v>7100</v>
      </c>
    </row>
    <row r="11" spans="2:9">
      <c r="B11" s="35" t="s">
        <v>109</v>
      </c>
      <c r="C11" s="36" t="s">
        <v>83</v>
      </c>
      <c r="D11" s="37" t="s">
        <v>30</v>
      </c>
      <c r="E11" s="38">
        <f>SUMIFS('Case4.4'!D:D,'Case4.4'!G:G,B11)</f>
        <v>50000</v>
      </c>
      <c r="F11" s="38">
        <f>SUMIFS('Case4.4'!E:E,'Case4.4'!G:G,B11)</f>
        <v>0</v>
      </c>
      <c r="G11" s="38">
        <f t="shared" si="0"/>
        <v>50000</v>
      </c>
    </row>
    <row r="12" spans="2:9">
      <c r="B12" s="35" t="s">
        <v>110</v>
      </c>
      <c r="C12" s="36" t="s">
        <v>81</v>
      </c>
      <c r="D12" s="37" t="s">
        <v>30</v>
      </c>
      <c r="E12" s="38">
        <f>SUMIFS('Case4.4'!D:D,'Case4.4'!G:G,B12)</f>
        <v>38815</v>
      </c>
      <c r="F12" s="38">
        <f>SUMIFS('Case4.4'!E:E,'Case4.4'!G:G,B12)</f>
        <v>0</v>
      </c>
      <c r="G12" s="38">
        <f t="shared" si="0"/>
        <v>38815</v>
      </c>
    </row>
    <row r="13" spans="2:9">
      <c r="B13" s="35" t="s">
        <v>111</v>
      </c>
      <c r="C13" s="36" t="s">
        <v>33</v>
      </c>
      <c r="D13" s="37" t="s">
        <v>30</v>
      </c>
      <c r="E13" s="38">
        <f>SUMIFS('Case4.4'!D:D,'Case4.4'!G:G,B13)</f>
        <v>1630</v>
      </c>
      <c r="F13" s="38">
        <f>SUMIFS('Case4.4'!E:E,'Case4.4'!G:G,B13)</f>
        <v>0</v>
      </c>
      <c r="G13" s="38">
        <f t="shared" si="0"/>
        <v>1630</v>
      </c>
    </row>
    <row r="14" spans="2:9">
      <c r="B14" s="35" t="s">
        <v>112</v>
      </c>
      <c r="C14" s="36" t="s">
        <v>34</v>
      </c>
      <c r="D14" s="37" t="s">
        <v>30</v>
      </c>
      <c r="E14" s="38">
        <f>SUMIFS('Case4.4'!D:D,'Case4.4'!G:G,B14)</f>
        <v>0</v>
      </c>
      <c r="F14" s="38">
        <f>SUMIFS('Case4.4'!E:E,'Case4.4'!G:G,B14)</f>
        <v>0</v>
      </c>
      <c r="G14" s="38">
        <f t="shared" si="0"/>
        <v>0</v>
      </c>
    </row>
    <row r="15" spans="2:9">
      <c r="B15" s="35"/>
      <c r="C15" s="36"/>
      <c r="D15" s="37"/>
      <c r="E15" s="38"/>
      <c r="F15" s="38"/>
      <c r="G15" s="38"/>
    </row>
    <row r="16" spans="2:9">
      <c r="B16" s="39" t="s">
        <v>97</v>
      </c>
      <c r="C16" s="39" t="s">
        <v>43</v>
      </c>
      <c r="D16" s="37" t="s">
        <v>30</v>
      </c>
      <c r="E16" s="38">
        <f>SUMIFS('Case4.4'!D:D,'Case4.4'!G:G,B16)</f>
        <v>2785000</v>
      </c>
      <c r="F16" s="38">
        <f>SUMIFS('Case4.4'!E:E,'Case4.4'!G:G,B16)</f>
        <v>0</v>
      </c>
      <c r="G16" s="38">
        <f>SUM(E16:F16)</f>
        <v>2785000</v>
      </c>
    </row>
    <row r="17" spans="2:7">
      <c r="B17" s="40" t="s">
        <v>99</v>
      </c>
      <c r="C17" s="40" t="s">
        <v>44</v>
      </c>
      <c r="D17" s="41" t="s">
        <v>117</v>
      </c>
      <c r="E17" s="38">
        <f>SUMIFS('Case4.4'!D:D,'Case4.4'!G:G,B17)</f>
        <v>0</v>
      </c>
      <c r="F17" s="38">
        <f>SUMIFS('Case4.4'!E:E,'Case4.4'!G:G,B17)</f>
        <v>3389280</v>
      </c>
      <c r="G17" s="42">
        <f>SUM(E17:F17)</f>
        <v>3389280</v>
      </c>
    </row>
    <row r="18" spans="2:7" ht="18.5" customHeight="1" thickBot="1">
      <c r="B18" s="27"/>
      <c r="C18" s="27"/>
      <c r="D18" s="10"/>
      <c r="E18" s="26"/>
      <c r="F18" s="26"/>
      <c r="G18" s="26"/>
    </row>
    <row r="19" spans="2:7">
      <c r="B19" s="28" t="s">
        <v>29</v>
      </c>
      <c r="C19" s="28"/>
      <c r="D19" s="29"/>
      <c r="E19" s="30">
        <f>SUM(E3:E18)</f>
        <v>3399280</v>
      </c>
      <c r="F19" s="30">
        <f>SUM(F3:F18)</f>
        <v>3389280</v>
      </c>
      <c r="G19" s="30"/>
    </row>
    <row r="23" spans="2:7">
      <c r="B23"/>
      <c r="E23" s="15"/>
      <c r="F23" s="15"/>
    </row>
    <row r="24" spans="2:7">
      <c r="B24"/>
      <c r="E24" s="15"/>
      <c r="F24" s="15"/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43B9-5723-497D-B0C6-1178D5BF35FA}">
  <dimension ref="B3:E18"/>
  <sheetViews>
    <sheetView tabSelected="1" workbookViewId="0"/>
  </sheetViews>
  <sheetFormatPr defaultRowHeight="16.5"/>
  <cols>
    <col min="1" max="1" width="1.6640625" style="10" customWidth="1"/>
    <col min="2" max="2" width="12" style="10" customWidth="1"/>
    <col min="3" max="3" width="26.08203125" style="10" bestFit="1" customWidth="1"/>
    <col min="4" max="5" width="11.1640625" style="10" bestFit="1" customWidth="1"/>
    <col min="6" max="40" width="10.75" style="10" bestFit="1" customWidth="1"/>
    <col min="41" max="41" width="5" style="10" bestFit="1" customWidth="1"/>
    <col min="42" max="16384" width="8.6640625" style="10"/>
  </cols>
  <sheetData>
    <row r="3" spans="2:5">
      <c r="B3" s="49" t="s">
        <v>161</v>
      </c>
      <c r="C3" s="49" t="s">
        <v>27</v>
      </c>
      <c r="D3" s="10" t="s">
        <v>113</v>
      </c>
      <c r="E3" s="10" t="s">
        <v>115</v>
      </c>
    </row>
    <row r="4" spans="2:5">
      <c r="B4" s="10" t="s">
        <v>94</v>
      </c>
      <c r="C4" s="10" t="s">
        <v>31</v>
      </c>
      <c r="D4" s="50">
        <v>55000</v>
      </c>
      <c r="E4" s="50">
        <v>0</v>
      </c>
    </row>
    <row r="5" spans="2:5">
      <c r="B5" s="10" t="s">
        <v>35</v>
      </c>
      <c r="C5" s="10" t="s">
        <v>92</v>
      </c>
      <c r="D5" s="50">
        <v>176200</v>
      </c>
      <c r="E5" s="50">
        <v>0</v>
      </c>
    </row>
    <row r="6" spans="2:5">
      <c r="B6" s="10" t="s">
        <v>36</v>
      </c>
      <c r="C6" s="10" t="s">
        <v>90</v>
      </c>
      <c r="D6" s="50">
        <v>188900</v>
      </c>
      <c r="E6" s="50">
        <v>0</v>
      </c>
    </row>
    <row r="7" spans="2:5">
      <c r="B7" s="10" t="s">
        <v>37</v>
      </c>
      <c r="C7" s="10" t="s">
        <v>86</v>
      </c>
      <c r="D7" s="50">
        <v>5000</v>
      </c>
      <c r="E7" s="50">
        <v>0</v>
      </c>
    </row>
    <row r="8" spans="2:5">
      <c r="B8" s="10" t="s">
        <v>11</v>
      </c>
      <c r="C8" s="10" t="s">
        <v>32</v>
      </c>
      <c r="D8" s="50">
        <v>2700</v>
      </c>
      <c r="E8" s="50">
        <v>0</v>
      </c>
    </row>
    <row r="9" spans="2:5">
      <c r="B9" s="10" t="s">
        <v>104</v>
      </c>
      <c r="C9" s="10" t="s">
        <v>88</v>
      </c>
      <c r="D9" s="50">
        <v>21935</v>
      </c>
      <c r="E9" s="50">
        <v>0</v>
      </c>
    </row>
    <row r="10" spans="2:5">
      <c r="B10" s="10" t="s">
        <v>106</v>
      </c>
      <c r="C10" s="10" t="s">
        <v>41</v>
      </c>
      <c r="D10" s="50">
        <v>67000</v>
      </c>
      <c r="E10" s="50">
        <v>0</v>
      </c>
    </row>
    <row r="11" spans="2:5">
      <c r="B11" s="10" t="s">
        <v>38</v>
      </c>
      <c r="C11" s="10" t="s">
        <v>84</v>
      </c>
      <c r="D11" s="50">
        <v>7100</v>
      </c>
      <c r="E11" s="50">
        <v>0</v>
      </c>
    </row>
    <row r="12" spans="2:5">
      <c r="B12" s="10" t="s">
        <v>39</v>
      </c>
      <c r="C12" s="10" t="s">
        <v>82</v>
      </c>
      <c r="D12" s="50">
        <v>50000</v>
      </c>
      <c r="E12" s="50">
        <v>0</v>
      </c>
    </row>
    <row r="13" spans="2:5">
      <c r="B13" s="10" t="s">
        <v>40</v>
      </c>
      <c r="C13" s="10" t="s">
        <v>80</v>
      </c>
      <c r="D13" s="50">
        <v>38815</v>
      </c>
      <c r="E13" s="50">
        <v>0</v>
      </c>
    </row>
    <row r="14" spans="2:5">
      <c r="B14" s="10" t="s">
        <v>42</v>
      </c>
      <c r="C14" s="10" t="s">
        <v>33</v>
      </c>
      <c r="D14" s="50">
        <v>1630</v>
      </c>
      <c r="E14" s="50">
        <v>0</v>
      </c>
    </row>
    <row r="15" spans="2:5">
      <c r="B15" s="10" t="s">
        <v>96</v>
      </c>
      <c r="C15" s="10" t="s">
        <v>43</v>
      </c>
      <c r="D15" s="50">
        <v>2785000</v>
      </c>
      <c r="E15" s="50">
        <v>0</v>
      </c>
    </row>
    <row r="16" spans="2:5">
      <c r="B16" s="10" t="s">
        <v>98</v>
      </c>
      <c r="C16" s="10" t="s">
        <v>44</v>
      </c>
      <c r="D16" s="50">
        <v>0</v>
      </c>
      <c r="E16" s="50">
        <v>3389280</v>
      </c>
    </row>
    <row r="17" spans="2:5">
      <c r="B17" s="10" t="s">
        <v>173</v>
      </c>
      <c r="C17" s="10" t="s">
        <v>173</v>
      </c>
      <c r="D17" s="50"/>
      <c r="E17" s="50"/>
    </row>
    <row r="18" spans="2:5">
      <c r="B18" s="10" t="s">
        <v>174</v>
      </c>
      <c r="D18" s="50">
        <v>3399280</v>
      </c>
      <c r="E18" s="50">
        <v>3389280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Case1</vt:lpstr>
      <vt:lpstr>Case2</vt:lpstr>
      <vt:lpstr>Case3</vt:lpstr>
      <vt:lpstr>Case4.1</vt:lpstr>
      <vt:lpstr>Case4.2</vt:lpstr>
      <vt:lpstr>Case4.3</vt:lpstr>
      <vt:lpstr>Case4.4</vt:lpstr>
      <vt:lpstr>Case4.5</vt:lpstr>
      <vt:lpstr>Case4.6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KAWASHIMA</dc:creator>
  <cp:lastModifiedBy>Hajime KAWASHIMA</cp:lastModifiedBy>
  <dcterms:created xsi:type="dcterms:W3CDTF">2015-06-05T18:19:34Z</dcterms:created>
  <dcterms:modified xsi:type="dcterms:W3CDTF">2022-03-04T14:22:51Z</dcterms:modified>
</cp:coreProperties>
</file>